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defaultThemeVersion="166925"/>
  <mc:AlternateContent xmlns:mc="http://schemas.openxmlformats.org/markup-compatibility/2006">
    <mc:Choice Requires="x15">
      <x15ac:absPath xmlns:x15ac="http://schemas.microsoft.com/office/spreadsheetml/2010/11/ac" url="https://eduetatfr.sharepoint.com/sites/FRITIC-Projets/Documents partages/Projet SEN/070- Technique/010- Prérequis écoles/010- Prérequis et recommandations/010- Calculateur coûts communes et besoins numériques/v4 du 25.06.2025/"/>
    </mc:Choice>
  </mc:AlternateContent>
  <xr:revisionPtr revIDLastSave="803" documentId="8_{C984CBCF-D98F-E24C-9055-6775964E1C4E}" xr6:coauthVersionLast="47" xr6:coauthVersionMax="47" xr10:uidLastSave="{2E503FE2-3E4B-B54F-BE5F-4D41F4F6C5AE}"/>
  <workbookProtection workbookAlgorithmName="SHA-512" workbookHashValue="zErvrOmZDMLcj1QjkdGzqMzqTs1wjuBKU1DxwVOc0j+xK/2Os3ScOXjs4E8LRqQY0mfeWawJz30ZJjkxC3JW9g==" workbookSaltValue="Mw2zZ5jtVLHWxkvxsGJkUA==" workbookSpinCount="100000" lockStructure="1"/>
  <bookViews>
    <workbookView showHorizontalScroll="0" xWindow="0" yWindow="500" windowWidth="34400" windowHeight="26600" xr2:uid="{4BCECAC9-512D-4887-91DB-C4AAA4D8E1B0}"/>
  </bookViews>
  <sheets>
    <sheet name="Description" sheetId="5" r:id="rId1"/>
    <sheet name="Mode d'emploi" sheetId="13" r:id="rId2"/>
    <sheet name="1. Données logistiques" sheetId="7" r:id="rId3"/>
    <sheet name="2. Estim. Coûts Infra. Techn." sheetId="6" r:id="rId4"/>
    <sheet name="Prix unitaires" sheetId="2" state="hidden" r:id="rId5"/>
    <sheet name="Paramètres" sheetId="8" state="hidden" r:id="rId6"/>
    <sheet name="TODO" sheetId="9" state="hidden" r:id="rId7"/>
  </sheets>
  <definedNames>
    <definedName name="BW_AUT_IN_MIN">Paramètres!$B$47</definedName>
    <definedName name="BW_AUT_IN_REC">Paramètres!$C$47</definedName>
    <definedName name="BW_AUT_OUT_MIN">Paramètres!$D$47</definedName>
    <definedName name="BW_AUT_OUT_REC">Paramètres!$E$47</definedName>
    <definedName name="BW_AUTRES">Paramètres!$B$47:$E$47</definedName>
    <definedName name="BW_ELE_1_8H">Paramètres!$B$43:$E$43</definedName>
    <definedName name="BW_ELE_9_11H">Paramètres!$B$44:$E$44</definedName>
    <definedName name="BW_ELE_IN_MIN">Paramètres!$B$43</definedName>
    <definedName name="BW_ELE_IN_REC">Paramètres!$C$43</definedName>
    <definedName name="BW_ELE_OUT_MIN">Paramètres!$D$43</definedName>
    <definedName name="BW_ELE_OUT_REC">Paramètres!$E$43</definedName>
    <definedName name="BW_ENS_IN_MIN">Paramètres!$B$46</definedName>
    <definedName name="BW_ENS_IN_REC">Paramètres!$C$46</definedName>
    <definedName name="BW_ENS_OUT_MIN">Paramètres!$D$46</definedName>
    <definedName name="BW_ENS_OUT_REC">Paramètres!$E$46</definedName>
    <definedName name="BW_ENSEIGN">Paramètres!$B$46:$E$46</definedName>
    <definedName name="BW_SALLE_INFO">Paramètres!$B$45:$E$45</definedName>
    <definedName name="Coût_tirage_câble_Eth">'1. Données logistiques'!$AF$19</definedName>
    <definedName name="Couts_Annuels">'2. Estim. Coûts Infra. Techn.'!$D$36</definedName>
    <definedName name="Couts_Annuels_Bruts">'2. Estim. Coûts Infra. Techn.'!$H$32</definedName>
    <definedName name="Couts_Uniques_Initiaux">'2. Estim. Coûts Infra. Techn.'!$D$34</definedName>
    <definedName name="Couts_Uniques_Initiaux_brut">'2. Estim. Coûts Infra. Techn.'!$I$32</definedName>
    <definedName name="Couts_Uniques_Renouv">'2. Estim. Coûts Infra. Techn.'!$D$35</definedName>
    <definedName name="Couts_Uniques_Renouv_Bruts">'2. Estim. Coûts Infra. Techn.'!$J$32</definedName>
    <definedName name="Decal_vertical">'1. Données logistiques'!$AE$34</definedName>
    <definedName name="Dotation_Déterm_1_2H">'1. Données logistiques'!$C$22</definedName>
    <definedName name="Dotation_Déterm_3_4H">'1. Données logistiques'!$D$22</definedName>
    <definedName name="Dotation_Déterm_5_6H">'1. Données logistiques'!$E$22</definedName>
    <definedName name="Dotation_Déterm_7_8H">'1. Données logistiques'!$F$22</definedName>
    <definedName name="Dotation_Déterm_9_11H">'1. Données logistiques'!$G$22</definedName>
    <definedName name="Dotation_Déterm_9_12H">'1. Données logistiques'!$G$22</definedName>
    <definedName name="ElevePClasse_1_2H">'1. Données logistiques'!$C$25</definedName>
    <definedName name="ElevePClasse_3_4H">'1. Données logistiques'!$D$25</definedName>
    <definedName name="ElevePClasse_5_6H">'1. Données logistiques'!$E$25</definedName>
    <definedName name="ElevePClasse_7_8H">'1. Données logistiques'!$F$25</definedName>
    <definedName name="ElevePClasse_9_11H">'1. Données logistiques'!$G$25</definedName>
    <definedName name="Intro_Internet">Paramètres!$A$51:$A$55</definedName>
    <definedName name="Lst_Syst_Rang">Paramètres!$A$27:$A$31</definedName>
    <definedName name="Max_ElevePClasse">Paramètres!$A$4:$E$4</definedName>
    <definedName name="Max_ElevePClasse_1_2H">Paramètres!$A$4</definedName>
    <definedName name="Max_ElevePClasse_3_4H">Paramètres!$B$4</definedName>
    <definedName name="Max_ElevePClasse_5_6H">Paramètres!$C$4</definedName>
    <definedName name="Max_ElevePClasse_7_8H">Paramètres!$D$4</definedName>
    <definedName name="Max_ElevePClasse_9_11H">Paramètres!$E$4</definedName>
    <definedName name="Moy_ElevePClasse">Paramètres!$A$3:$E$3</definedName>
    <definedName name="Moy_ElevePClasse_1_2H">Paramètres!$A$3</definedName>
    <definedName name="Moy_ElevePClasse_3_4H">Paramètres!$B$3</definedName>
    <definedName name="Moy_ElevePClasse_5_6H">Paramètres!$C$3</definedName>
    <definedName name="Moy_ElevePClasse_7_8H">Paramètres!$D$3</definedName>
    <definedName name="Moy_ElevePClasse_9_11H">Paramètres!$E$3</definedName>
    <definedName name="Nb_Bat">'2. Estim. Coûts Infra. Techn.'!$F$6</definedName>
    <definedName name="Nb_Cla_Std">'2. Estim. Coûts Infra. Techn.'!$F$8</definedName>
    <definedName name="Nb_Ele_9_11H">'1. Données logistiques'!$G$9</definedName>
    <definedName name="Nb_Tot_Bat">'1. Données logistiques'!$AJ$124</definedName>
    <definedName name="Nb_Tot_Eleves">'1. Données logistiques'!$H$9</definedName>
    <definedName name="Nb_Tot_Etages">'1. Données logistiques'!$AH$124</definedName>
    <definedName name="Nb_Tot_Internet">'1. Données logistiques'!$AI$124</definedName>
    <definedName name="Nb_Tot_SallesDeClasse">'1. Données logistiques'!$AG$124</definedName>
    <definedName name="NbCables_Equiv_Switch">'1. Données logistiques'!$AD$28</definedName>
    <definedName name="Nom_Etablissement">'1. Données logistiques'!$C$4</definedName>
    <definedName name="pas_vertical">'1. Données logistiques'!$X$10</definedName>
    <definedName name="Syst_Rang">Paramètres!$A$27:$B$31</definedName>
    <definedName name="Tot_Antennes_Wifi">'1. Données logistiques'!$AB$120</definedName>
    <definedName name="Tot_Armoire_réseau">'1. Données logistiques'!$AA$120</definedName>
    <definedName name="Tot_Connexions">'1. Données logistiques'!$Y$120</definedName>
    <definedName name="Tot_Cout_Syst_Rang_init">'1. Données logistiques'!$W$120</definedName>
    <definedName name="Tot_Cout_Syst_Rang_renouv">'1. Données logistiques'!$V$120</definedName>
    <definedName name="Tot_Equip_Elèves">'1. Données logistiques'!$H$23</definedName>
    <definedName name="Tot_Nb_Postes_Autres">'1. Données logistiques'!#REF!</definedName>
    <definedName name="Tot_Nb_Postes_SInfo">'1. Données logistiques'!#REF!</definedName>
    <definedName name="Tot_Switches">'1. Données logistiques'!$Z$120</definedName>
    <definedName name="Tot_Syst_Rang">'1. Données logistiques'!$U$121</definedName>
    <definedName name="Tot_Syst_Rang_conserver">'1. Données logistiques'!$W$121</definedName>
    <definedName name="Tot_Syst_Rang_nouveaux">'1. Données logistiques'!$V$121</definedName>
    <definedName name="TotalEtages">'2. Estim. Coûts Infra. Techn.'!$F$7</definedName>
    <definedName name="TotalSalles">'2. Estim. Coûts Infra. Techn.'!$C$9</definedName>
    <definedName name="Z_2F7F83DD_5603_CE40_9872_ABF624ECE237_.wvu.PrintArea" localSheetId="3" hidden="1">'2. Estim. Coûts Infra. Techn.'!$A$1:$J$58</definedName>
    <definedName name="Z_2F7F83DD_5603_CE40_9872_ABF624ECE237_.wvu.PrintArea" localSheetId="0" hidden="1">Description!$A$1:$E$10</definedName>
    <definedName name="Z_2F7F83DD_5603_CE40_9872_ABF624ECE237_.wvu.PrintArea" localSheetId="1" hidden="1">'Mode d''emploi'!$A$1:$D$10</definedName>
    <definedName name="Z_D932F249_B54E_D54C_B8F4_0256603E93D7_.wvu.PrintArea" localSheetId="3" hidden="1">'2. Estim. Coûts Infra. Techn.'!$A$1:$J$58</definedName>
    <definedName name="Z_D932F249_B54E_D54C_B8F4_0256603E93D7_.wvu.PrintArea" localSheetId="0" hidden="1">Description!$A$1:$E$10</definedName>
    <definedName name="Z_D932F249_B54E_D54C_B8F4_0256603E93D7_.wvu.PrintArea" localSheetId="1" hidden="1">'Mode d''emploi'!$A$1:$E$11</definedName>
    <definedName name="_xlnm.Print_Area" localSheetId="2">'1. Données logistiques'!$A$1:$R$118</definedName>
    <definedName name="_xlnm.Print_Area" localSheetId="3">'2. Estim. Coûts Infra. Techn.'!$A$1:$K$48</definedName>
    <definedName name="_xlnm.Print_Area" localSheetId="0">Description!$A$1:$E$10</definedName>
    <definedName name="_xlnm.Print_Area" localSheetId="1">'Mode d''emploi'!$A$1:$E$11</definedName>
  </definedNames>
  <calcPr calcId="191028"/>
  <customWorkbookViews>
    <customWorkbookView name="Edition" guid="{2F7F83DD-5603-CE40-9872-ABF624ECE237}" showHorizontalScroll="0" xWindow="511" yWindow="49" windowWidth="1555" windowHeight="1240" activeSheetId="13"/>
    <customWorkbookView name="Public" guid="{D932F249-B54E-D54C-B8F4-0256603E93D7}" showHorizontalScroll="0" xWindow="511" yWindow="49" windowWidth="1555" windowHeight="1240" activeSheetId="13" showFormulaBar="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7" l="1"/>
  <c r="D22" i="7"/>
  <c r="E22" i="7"/>
  <c r="E23" i="7" s="1"/>
  <c r="F22" i="7"/>
  <c r="G22" i="7"/>
  <c r="N23" i="7"/>
  <c r="N22" i="7"/>
  <c r="N21" i="7"/>
  <c r="N20" i="7"/>
  <c r="N19" i="7"/>
  <c r="U109" i="7" l="1"/>
  <c r="U110" i="7"/>
  <c r="U111" i="7"/>
  <c r="U112" i="7"/>
  <c r="U108" i="7"/>
  <c r="U92" i="7"/>
  <c r="U93" i="7"/>
  <c r="U94" i="7"/>
  <c r="U95" i="7"/>
  <c r="U91" i="7"/>
  <c r="U75" i="7"/>
  <c r="U76" i="7"/>
  <c r="U77" i="7"/>
  <c r="U78" i="7"/>
  <c r="U74" i="7"/>
  <c r="U58" i="7"/>
  <c r="U59" i="7"/>
  <c r="U60" i="7"/>
  <c r="U61" i="7"/>
  <c r="U57" i="7"/>
  <c r="U41" i="7"/>
  <c r="U42" i="7"/>
  <c r="U43" i="7"/>
  <c r="U44" i="7"/>
  <c r="U40" i="7"/>
  <c r="P113" i="7" l="1"/>
  <c r="O113" i="7"/>
  <c r="P96" i="7"/>
  <c r="O96" i="7"/>
  <c r="P79" i="7"/>
  <c r="O79" i="7"/>
  <c r="P62" i="7"/>
  <c r="O62" i="7"/>
  <c r="P45" i="7"/>
  <c r="O45" i="7"/>
  <c r="U121" i="7" l="1"/>
  <c r="C31" i="6" s="1"/>
  <c r="Q112" i="7" l="1"/>
  <c r="L112" i="7"/>
  <c r="K112" i="7"/>
  <c r="Q111" i="7"/>
  <c r="L111" i="7"/>
  <c r="K111" i="7"/>
  <c r="Q110" i="7"/>
  <c r="L110" i="7"/>
  <c r="K110" i="7"/>
  <c r="Q109" i="7"/>
  <c r="L109" i="7"/>
  <c r="K109" i="7"/>
  <c r="Q108" i="7"/>
  <c r="L108" i="7"/>
  <c r="K108" i="7"/>
  <c r="Q95" i="7"/>
  <c r="L95" i="7"/>
  <c r="K95" i="7"/>
  <c r="Q94" i="7"/>
  <c r="Q96" i="7" s="1"/>
  <c r="L94" i="7"/>
  <c r="K94" i="7"/>
  <c r="Q93" i="7"/>
  <c r="L93" i="7"/>
  <c r="K93" i="7"/>
  <c r="Q92" i="7"/>
  <c r="L92" i="7"/>
  <c r="K92" i="7"/>
  <c r="Q91" i="7"/>
  <c r="L91" i="7"/>
  <c r="K91" i="7"/>
  <c r="Q78" i="7"/>
  <c r="L78" i="7"/>
  <c r="K78" i="7"/>
  <c r="Q77" i="7"/>
  <c r="L77" i="7"/>
  <c r="K77" i="7"/>
  <c r="Q76" i="7"/>
  <c r="L76" i="7"/>
  <c r="K76" i="7"/>
  <c r="Q75" i="7"/>
  <c r="L75" i="7"/>
  <c r="K75" i="7"/>
  <c r="Q74" i="7"/>
  <c r="L74" i="7"/>
  <c r="K74" i="7"/>
  <c r="Q61" i="7"/>
  <c r="L61" i="7"/>
  <c r="K61" i="7"/>
  <c r="Q60" i="7"/>
  <c r="L60" i="7"/>
  <c r="K60" i="7"/>
  <c r="Q59" i="7"/>
  <c r="L59" i="7"/>
  <c r="K59" i="7"/>
  <c r="Q58" i="7"/>
  <c r="L58" i="7"/>
  <c r="K58" i="7"/>
  <c r="Q57" i="7"/>
  <c r="L57" i="7"/>
  <c r="K57" i="7"/>
  <c r="D18" i="7"/>
  <c r="C31" i="7"/>
  <c r="G30" i="6"/>
  <c r="Q62" i="7" l="1"/>
  <c r="Q113" i="7"/>
  <c r="Q79" i="7"/>
  <c r="L96" i="7"/>
  <c r="K79" i="7"/>
  <c r="L79" i="7"/>
  <c r="K113" i="7"/>
  <c r="K96" i="7"/>
  <c r="L113" i="7"/>
  <c r="L62" i="7"/>
  <c r="K62" i="7"/>
  <c r="D24" i="7"/>
  <c r="C24" i="7"/>
  <c r="G24" i="6" l="1"/>
  <c r="G25" i="6"/>
  <c r="K25" i="6"/>
  <c r="G26" i="6"/>
  <c r="G27" i="6"/>
  <c r="G28" i="6"/>
  <c r="G29" i="6"/>
  <c r="G22" i="6"/>
  <c r="C14" i="2"/>
  <c r="G20" i="6" s="1"/>
  <c r="C7" i="2"/>
  <c r="G16" i="6" s="1"/>
  <c r="C15" i="2"/>
  <c r="G21" i="6" s="1"/>
  <c r="F21" i="6"/>
  <c r="G18" i="6"/>
  <c r="C10" i="2"/>
  <c r="C8" i="2"/>
  <c r="C9" i="2"/>
  <c r="G17" i="6" s="1"/>
  <c r="F19" i="6"/>
  <c r="F16" i="6"/>
  <c r="G15" i="6"/>
  <c r="F14" i="6"/>
  <c r="G14" i="6"/>
  <c r="B6" i="2"/>
  <c r="F15" i="6" s="1"/>
  <c r="X10" i="7"/>
  <c r="Y112" i="7"/>
  <c r="Y95" i="7"/>
  <c r="Y78" i="7"/>
  <c r="Y61" i="7"/>
  <c r="AG20" i="7"/>
  <c r="AG21" i="7" s="1"/>
  <c r="AE20" i="7"/>
  <c r="AE21" i="7" s="1"/>
  <c r="AF20" i="7"/>
  <c r="AF21" i="7" s="1"/>
  <c r="Z78" i="7" l="1"/>
  <c r="AA78" i="7" s="1"/>
  <c r="Y77" i="7" s="1"/>
  <c r="Z77" i="7" s="1"/>
  <c r="AA77" i="7" s="1"/>
  <c r="Y76" i="7" s="1"/>
  <c r="Z76" i="7" s="1"/>
  <c r="AA76" i="7" s="1"/>
  <c r="Y75" i="7" s="1"/>
  <c r="Z75" i="7" s="1"/>
  <c r="AA75" i="7" s="1"/>
  <c r="Y74" i="7" s="1"/>
  <c r="Z74" i="7" s="1"/>
  <c r="Z95" i="7"/>
  <c r="AA95" i="7" s="1"/>
  <c r="Y94" i="7" s="1"/>
  <c r="Z94" i="7" s="1"/>
  <c r="AA94" i="7" s="1"/>
  <c r="Y93" i="7" s="1"/>
  <c r="Z93" i="7" s="1"/>
  <c r="AA93" i="7" s="1"/>
  <c r="Y92" i="7" s="1"/>
  <c r="Z92" i="7" s="1"/>
  <c r="AA92" i="7" s="1"/>
  <c r="Y91" i="7" s="1"/>
  <c r="Z91" i="7" s="1"/>
  <c r="Z112" i="7"/>
  <c r="AA112" i="7" s="1"/>
  <c r="Y111" i="7" s="1"/>
  <c r="Z111" i="7" s="1"/>
  <c r="AA111" i="7" s="1"/>
  <c r="Y110" i="7" s="1"/>
  <c r="Z110" i="7" s="1"/>
  <c r="AA110" i="7" s="1"/>
  <c r="Y109" i="7" s="1"/>
  <c r="Z109" i="7" s="1"/>
  <c r="AA109" i="7" s="1"/>
  <c r="Y108" i="7" s="1"/>
  <c r="Z108" i="7" s="1"/>
  <c r="Z61" i="7"/>
  <c r="AA61" i="7" s="1"/>
  <c r="Y60" i="7" s="1"/>
  <c r="Z60" i="7" s="1"/>
  <c r="AA60" i="7" s="1"/>
  <c r="Y59" i="7" s="1"/>
  <c r="Z59" i="7" s="1"/>
  <c r="AA59" i="7" s="1"/>
  <c r="Y58" i="7" s="1"/>
  <c r="Z58" i="7" s="1"/>
  <c r="AA58" i="7" s="1"/>
  <c r="Y57" i="7" s="1"/>
  <c r="Z57" i="7" s="1"/>
  <c r="AA108" i="7" l="1"/>
  <c r="Y113" i="7" s="1"/>
  <c r="Z113" i="7" s="1"/>
  <c r="AA91" i="7"/>
  <c r="Y96" i="7" s="1"/>
  <c r="Z96" i="7" s="1"/>
  <c r="AA74" i="7"/>
  <c r="Y79" i="7" s="1"/>
  <c r="Z79" i="7" s="1"/>
  <c r="AA57" i="7"/>
  <c r="Y62" i="7" s="1"/>
  <c r="Z114" i="7" l="1"/>
  <c r="L115" i="7" s="1"/>
  <c r="Z115" i="7"/>
  <c r="L116" i="7" s="1"/>
  <c r="Z98" i="7"/>
  <c r="L99" i="7" s="1"/>
  <c r="Z97" i="7"/>
  <c r="L98" i="7" s="1"/>
  <c r="Z80" i="7"/>
  <c r="L81" i="7" s="1"/>
  <c r="Z81" i="7"/>
  <c r="L82" i="7" s="1"/>
  <c r="V112" i="7"/>
  <c r="V111" i="7"/>
  <c r="V109" i="7"/>
  <c r="V92" i="7"/>
  <c r="V75" i="7"/>
  <c r="V61" i="7"/>
  <c r="V59" i="7"/>
  <c r="F18" i="7"/>
  <c r="K28" i="6"/>
  <c r="V42" i="7"/>
  <c r="AG123" i="7"/>
  <c r="AG122" i="7"/>
  <c r="AG121" i="7"/>
  <c r="AG119" i="7"/>
  <c r="AG120" i="7"/>
  <c r="AG40" i="7"/>
  <c r="AE112" i="7"/>
  <c r="AE111" i="7"/>
  <c r="AE110" i="7"/>
  <c r="AE109" i="7"/>
  <c r="AE108" i="7"/>
  <c r="AE95" i="7"/>
  <c r="AE94" i="7"/>
  <c r="AE93" i="7"/>
  <c r="AE92" i="7"/>
  <c r="AE91" i="7"/>
  <c r="AE78" i="7"/>
  <c r="AE77" i="7"/>
  <c r="AE76" i="7"/>
  <c r="AE75" i="7"/>
  <c r="AE74" i="7"/>
  <c r="AE61" i="7"/>
  <c r="AE60" i="7"/>
  <c r="AE59" i="7"/>
  <c r="AE58" i="7"/>
  <c r="AE57" i="7"/>
  <c r="AG58" i="7"/>
  <c r="AG59" i="7"/>
  <c r="AG60" i="7"/>
  <c r="AG61" i="7"/>
  <c r="AG57" i="7"/>
  <c r="AG41" i="7"/>
  <c r="AG42" i="7"/>
  <c r="AG43" i="7"/>
  <c r="AG44" i="7"/>
  <c r="AF61" i="7"/>
  <c r="AF60" i="7"/>
  <c r="AF59" i="7"/>
  <c r="AF58" i="7"/>
  <c r="AF57" i="7"/>
  <c r="AE41" i="7"/>
  <c r="AE42" i="7"/>
  <c r="AE43" i="7"/>
  <c r="AE44" i="7"/>
  <c r="AE40" i="7"/>
  <c r="K41" i="7"/>
  <c r="K42" i="7"/>
  <c r="K43" i="7"/>
  <c r="K44" i="7"/>
  <c r="K40" i="7"/>
  <c r="L41" i="7"/>
  <c r="L42" i="7"/>
  <c r="L43" i="7"/>
  <c r="L44" i="7"/>
  <c r="Y44" i="7" s="1"/>
  <c r="L40" i="7"/>
  <c r="Z44" i="7" l="1"/>
  <c r="W60" i="7"/>
  <c r="W94" i="7"/>
  <c r="V94" i="7"/>
  <c r="W74" i="7"/>
  <c r="W95" i="7"/>
  <c r="W76" i="7"/>
  <c r="W110" i="7"/>
  <c r="W78" i="7"/>
  <c r="W91" i="7"/>
  <c r="W59" i="7"/>
  <c r="W93" i="7"/>
  <c r="W61" i="7"/>
  <c r="V110" i="7"/>
  <c r="W108" i="7"/>
  <c r="W58" i="7"/>
  <c r="V76" i="7"/>
  <c r="W111" i="7"/>
  <c r="V93" i="7"/>
  <c r="W57" i="7"/>
  <c r="V78" i="7"/>
  <c r="W77" i="7"/>
  <c r="V108" i="7"/>
  <c r="W112" i="7"/>
  <c r="W109" i="7"/>
  <c r="V95" i="7"/>
  <c r="W92" i="7"/>
  <c r="V91" i="7"/>
  <c r="V77" i="7"/>
  <c r="W75" i="7"/>
  <c r="V74" i="7"/>
  <c r="V60" i="7"/>
  <c r="V57" i="7"/>
  <c r="V58" i="7"/>
  <c r="G18" i="7"/>
  <c r="E18" i="7"/>
  <c r="C18" i="7"/>
  <c r="AG112" i="7"/>
  <c r="AF112" i="7"/>
  <c r="AG111" i="7"/>
  <c r="AF111" i="7"/>
  <c r="AG110" i="7"/>
  <c r="AF110" i="7"/>
  <c r="AG109" i="7"/>
  <c r="AF109" i="7"/>
  <c r="AG108" i="7"/>
  <c r="AF108" i="7"/>
  <c r="AG95" i="7"/>
  <c r="AF95" i="7"/>
  <c r="AG94" i="7"/>
  <c r="AF94" i="7"/>
  <c r="AG93" i="7"/>
  <c r="AF93" i="7"/>
  <c r="AG92" i="7"/>
  <c r="AF92" i="7"/>
  <c r="AG91" i="7"/>
  <c r="AF91" i="7"/>
  <c r="AG78" i="7"/>
  <c r="AF78" i="7"/>
  <c r="AG77" i="7"/>
  <c r="AF77" i="7"/>
  <c r="AG76" i="7"/>
  <c r="AF76" i="7"/>
  <c r="AG75" i="7"/>
  <c r="AF75" i="7"/>
  <c r="AG74" i="7"/>
  <c r="AF74" i="7"/>
  <c r="AF41" i="7"/>
  <c r="AF42" i="7"/>
  <c r="AF43" i="7"/>
  <c r="AF44" i="7"/>
  <c r="W62" i="7" l="1"/>
  <c r="W96" i="7"/>
  <c r="V79" i="7"/>
  <c r="W79" i="7"/>
  <c r="V96" i="7"/>
  <c r="W113" i="7"/>
  <c r="V113" i="7"/>
  <c r="V62" i="7"/>
  <c r="AC108" i="7"/>
  <c r="AC74" i="7"/>
  <c r="AC92" i="7"/>
  <c r="AC58" i="7"/>
  <c r="AC61" i="7"/>
  <c r="AC110" i="7"/>
  <c r="AC44" i="7"/>
  <c r="AC91" i="7"/>
  <c r="AC40" i="7"/>
  <c r="AC111" i="7"/>
  <c r="AC77" i="7"/>
  <c r="AC41" i="7"/>
  <c r="AC42" i="7"/>
  <c r="AC95" i="7"/>
  <c r="AC43" i="7"/>
  <c r="AC76" i="7"/>
  <c r="AC94" i="7"/>
  <c r="AC112" i="7"/>
  <c r="AC78" i="7"/>
  <c r="AC93" i="7"/>
  <c r="AC59" i="7"/>
  <c r="AC57" i="7"/>
  <c r="AC60" i="7"/>
  <c r="AC109" i="7"/>
  <c r="AC75" i="7"/>
  <c r="K3" i="8" l="1"/>
  <c r="J4" i="8" s="1"/>
  <c r="I4" i="8" l="1"/>
  <c r="K4" i="8"/>
  <c r="H4" i="8"/>
  <c r="K15" i="8"/>
  <c r="K16" i="8"/>
  <c r="K17" i="8"/>
  <c r="K18" i="8"/>
  <c r="K19" i="8"/>
  <c r="K20" i="8"/>
  <c r="K21" i="8"/>
  <c r="K22" i="8"/>
  <c r="K23" i="8"/>
  <c r="K24" i="8"/>
  <c r="K14" i="8"/>
  <c r="D31" i="7"/>
  <c r="E31" i="7"/>
  <c r="F31" i="7"/>
  <c r="G31" i="7"/>
  <c r="Q44" i="7"/>
  <c r="Q43" i="7"/>
  <c r="Q42" i="7"/>
  <c r="Q41" i="7"/>
  <c r="Q40" i="7"/>
  <c r="V41" i="7"/>
  <c r="V43" i="7"/>
  <c r="V44" i="7"/>
  <c r="V40" i="7"/>
  <c r="AC104" i="7"/>
  <c r="AC102" i="7"/>
  <c r="AC87" i="7"/>
  <c r="AC85" i="7"/>
  <c r="AC70" i="7"/>
  <c r="AC68" i="7"/>
  <c r="AC53" i="7"/>
  <c r="AC51" i="7"/>
  <c r="AF40" i="7"/>
  <c r="C45" i="8"/>
  <c r="D45" i="8"/>
  <c r="E45" i="8"/>
  <c r="B45" i="8"/>
  <c r="C44" i="8"/>
  <c r="D44" i="8"/>
  <c r="E44" i="8"/>
  <c r="B44" i="8"/>
  <c r="D24" i="8"/>
  <c r="C24" i="8"/>
  <c r="AC36" i="7"/>
  <c r="AC34" i="7"/>
  <c r="B46" i="8"/>
  <c r="E47" i="8"/>
  <c r="D47" i="8"/>
  <c r="C47" i="8"/>
  <c r="B47" i="8"/>
  <c r="E46" i="8"/>
  <c r="D46" i="8"/>
  <c r="C46" i="8"/>
  <c r="E43" i="8"/>
  <c r="D43" i="8"/>
  <c r="C43" i="8"/>
  <c r="B43" i="8"/>
  <c r="F24" i="8"/>
  <c r="E24" i="8"/>
  <c r="B24" i="8"/>
  <c r="AE104" i="7" a="1"/>
  <c r="AE53" i="7" a="1"/>
  <c r="AE87" i="7" a="1"/>
  <c r="AE70" i="7" a="1"/>
  <c r="AE36" i="7" a="1"/>
  <c r="O19" i="7" l="1"/>
  <c r="P19" i="7"/>
  <c r="O22" i="7"/>
  <c r="P22" i="7"/>
  <c r="O21" i="7"/>
  <c r="P21" i="7"/>
  <c r="O20" i="7"/>
  <c r="P20" i="7"/>
  <c r="O23" i="7"/>
  <c r="P23" i="7"/>
  <c r="Q45" i="7"/>
  <c r="K6" i="8"/>
  <c r="AA44" i="7"/>
  <c r="Y43" i="7" s="1"/>
  <c r="Z43" i="7" s="1"/>
  <c r="AA43" i="7" s="1"/>
  <c r="Y42" i="7" s="1"/>
  <c r="Z42" i="7" s="1"/>
  <c r="AA42" i="7" s="1"/>
  <c r="Y41" i="7" s="1"/>
  <c r="Z41" i="7" s="1"/>
  <c r="AA41" i="7" s="1"/>
  <c r="Y40" i="7" s="1"/>
  <c r="Z40" i="7" s="1"/>
  <c r="AA40" i="7" s="1"/>
  <c r="V45" i="7"/>
  <c r="V120" i="7" s="1"/>
  <c r="K5" i="8"/>
  <c r="E3" i="8" s="1"/>
  <c r="W44" i="7"/>
  <c r="W43" i="7"/>
  <c r="AH123" i="7"/>
  <c r="AH120" i="7"/>
  <c r="W42" i="7"/>
  <c r="W121" i="7"/>
  <c r="D31" i="6" s="1"/>
  <c r="W40" i="7"/>
  <c r="W41" i="7"/>
  <c r="AE79" i="7"/>
  <c r="AP79" i="7" s="1"/>
  <c r="AF62" i="7"/>
  <c r="AW62" i="7" s="1"/>
  <c r="AF113" i="7"/>
  <c r="AV113" i="7" s="1"/>
  <c r="AJ84" i="7"/>
  <c r="AJ33" i="7"/>
  <c r="AG113" i="7"/>
  <c r="AZ113" i="7" s="1"/>
  <c r="AI50" i="7"/>
  <c r="AI51" i="7" s="1"/>
  <c r="AI52" i="7" s="1"/>
  <c r="AI53" i="7" s="1"/>
  <c r="AI54" i="7" s="1"/>
  <c r="AJ67" i="7"/>
  <c r="AI101" i="7"/>
  <c r="AI102" i="7" s="1"/>
  <c r="AI103" i="7" s="1"/>
  <c r="AI104" i="7" s="1"/>
  <c r="AI105" i="7" s="1"/>
  <c r="AD104" i="7"/>
  <c r="AG62" i="7"/>
  <c r="BA62" i="7" s="1"/>
  <c r="AG79" i="7"/>
  <c r="AZ79" i="7" s="1"/>
  <c r="AD53" i="7"/>
  <c r="AD70" i="7"/>
  <c r="AD87" i="7"/>
  <c r="AJ50" i="7"/>
  <c r="AJ51" i="7" s="1"/>
  <c r="AJ52" i="7" s="1"/>
  <c r="AJ53" i="7" s="1"/>
  <c r="AJ54" i="7" s="1"/>
  <c r="AD36" i="7"/>
  <c r="AK50" i="7"/>
  <c r="AK51" i="7" s="1"/>
  <c r="AK52" i="7" s="1"/>
  <c r="AK53" i="7" s="1"/>
  <c r="AK54" i="7" s="1"/>
  <c r="AG67" i="7"/>
  <c r="AG68" i="7" s="1"/>
  <c r="AG33" i="7"/>
  <c r="AH67" i="7"/>
  <c r="AH33" i="7"/>
  <c r="AI67" i="7"/>
  <c r="AF96" i="7"/>
  <c r="AT96" i="7" s="1"/>
  <c r="AI33" i="7"/>
  <c r="AG96" i="7"/>
  <c r="BA96" i="7" s="1"/>
  <c r="AG84" i="7"/>
  <c r="AG85" i="7" s="1"/>
  <c r="AF79" i="7"/>
  <c r="AW79" i="7" s="1"/>
  <c r="AG50" i="7"/>
  <c r="AH84" i="7"/>
  <c r="AH85" i="7" s="1"/>
  <c r="AH86" i="7" s="1"/>
  <c r="AH87" i="7" s="1"/>
  <c r="AH88" i="7" s="1"/>
  <c r="AH50" i="7"/>
  <c r="AI84" i="7"/>
  <c r="AI85" i="7" s="1"/>
  <c r="AI86" i="7" s="1"/>
  <c r="AI87" i="7" s="1"/>
  <c r="AI88" i="7" s="1"/>
  <c r="AE96" i="7"/>
  <c r="AR96" i="7" s="1"/>
  <c r="AE113" i="7"/>
  <c r="AP113" i="7" s="1"/>
  <c r="AK84" i="7"/>
  <c r="AK85" i="7" s="1"/>
  <c r="AK86" i="7" s="1"/>
  <c r="AK87" i="7" s="1"/>
  <c r="AK88" i="7" s="1"/>
  <c r="AG101" i="7"/>
  <c r="AG102" i="7" s="1"/>
  <c r="AH101" i="7"/>
  <c r="AH102" i="7" s="1"/>
  <c r="AH103" i="7" s="1"/>
  <c r="AH104" i="7" s="1"/>
  <c r="AH105" i="7" s="1"/>
  <c r="AJ101" i="7"/>
  <c r="AK33" i="7"/>
  <c r="AK67" i="7"/>
  <c r="AK68" i="7" s="1"/>
  <c r="AK69" i="7" s="1"/>
  <c r="AK70" i="7" s="1"/>
  <c r="AK71" i="7" s="1"/>
  <c r="AK101" i="7"/>
  <c r="AE36" i="7"/>
  <c r="G36" i="7" s="1"/>
  <c r="AE104" i="7"/>
  <c r="G104" i="7" s="1"/>
  <c r="AE87" i="7"/>
  <c r="G87" i="7" s="1"/>
  <c r="AE70" i="7"/>
  <c r="G70" i="7" s="1"/>
  <c r="AE53" i="7"/>
  <c r="G53" i="7" s="1"/>
  <c r="AF45" i="7"/>
  <c r="G44" i="8"/>
  <c r="C25" i="7" a="1"/>
  <c r="Q21" i="7" l="1"/>
  <c r="Q20" i="7"/>
  <c r="Q22" i="7"/>
  <c r="Q23" i="7"/>
  <c r="Q19" i="7"/>
  <c r="AD40" i="7"/>
  <c r="AD78" i="7"/>
  <c r="AD59" i="7"/>
  <c r="AD109" i="7"/>
  <c r="AD77" i="7"/>
  <c r="AD44" i="7"/>
  <c r="AD92" i="7"/>
  <c r="AD95" i="7"/>
  <c r="AD42" i="7"/>
  <c r="AD61" i="7"/>
  <c r="AD74" i="7"/>
  <c r="AD93" i="7"/>
  <c r="AD58" i="7"/>
  <c r="AD76" i="7"/>
  <c r="AD108" i="7"/>
  <c r="AD57" i="7"/>
  <c r="AD111" i="7"/>
  <c r="AD43" i="7"/>
  <c r="AD110" i="7"/>
  <c r="AD60" i="7"/>
  <c r="AD41" i="7"/>
  <c r="AD91" i="7"/>
  <c r="AD75" i="7"/>
  <c r="AD94" i="7"/>
  <c r="AD112" i="7"/>
  <c r="T112" i="7"/>
  <c r="T109" i="7"/>
  <c r="T111" i="7"/>
  <c r="T108" i="7"/>
  <c r="T110" i="7"/>
  <c r="T95" i="7"/>
  <c r="T92" i="7"/>
  <c r="T94" i="7"/>
  <c r="T91" i="7"/>
  <c r="T93" i="7"/>
  <c r="T78" i="7"/>
  <c r="T77" i="7"/>
  <c r="T75" i="7"/>
  <c r="T74" i="7"/>
  <c r="T76" i="7"/>
  <c r="T61" i="7"/>
  <c r="T58" i="7"/>
  <c r="T60" i="7"/>
  <c r="T59" i="7"/>
  <c r="T57" i="7"/>
  <c r="T41" i="7"/>
  <c r="T42" i="7"/>
  <c r="T43" i="7"/>
  <c r="T44" i="7"/>
  <c r="T40" i="7"/>
  <c r="Z62" i="7"/>
  <c r="Z63" i="7" s="1"/>
  <c r="L64" i="7" s="1"/>
  <c r="Y45" i="7"/>
  <c r="AE62" i="7"/>
  <c r="AS62" i="7" s="1"/>
  <c r="AG69" i="7"/>
  <c r="AG70" i="7" s="1"/>
  <c r="AG71" i="7" s="1"/>
  <c r="AG86" i="7"/>
  <c r="AG87" i="7" s="1"/>
  <c r="AG88" i="7" s="1"/>
  <c r="AG103" i="7"/>
  <c r="AG104" i="7" s="1"/>
  <c r="AG105" i="7" s="1"/>
  <c r="C25" i="7"/>
  <c r="AR79" i="7"/>
  <c r="AS79" i="7"/>
  <c r="W45" i="7"/>
  <c r="W120" i="7" s="1"/>
  <c r="I31" i="6" s="1"/>
  <c r="AQ79" i="7"/>
  <c r="V121" i="7"/>
  <c r="E31" i="6" s="1"/>
  <c r="AW113" i="7"/>
  <c r="AT62" i="7"/>
  <c r="AV62" i="7"/>
  <c r="AU62" i="7"/>
  <c r="AT113" i="7"/>
  <c r="AU113" i="7"/>
  <c r="AX96" i="7"/>
  <c r="AW96" i="7"/>
  <c r="AZ96" i="7"/>
  <c r="BA113" i="7"/>
  <c r="AX113" i="7"/>
  <c r="AY113" i="7"/>
  <c r="H9" i="7"/>
  <c r="AV79" i="7"/>
  <c r="AU79" i="7"/>
  <c r="AY96" i="7"/>
  <c r="AT79" i="7"/>
  <c r="AQ113" i="7"/>
  <c r="AS113" i="7"/>
  <c r="AV96" i="7"/>
  <c r="AY79" i="7"/>
  <c r="AX79" i="7"/>
  <c r="AX62" i="7"/>
  <c r="BA79" i="7"/>
  <c r="AY62" i="7"/>
  <c r="AZ62" i="7"/>
  <c r="AU96" i="7"/>
  <c r="AR113" i="7"/>
  <c r="AS96" i="7"/>
  <c r="AP96" i="7"/>
  <c r="AQ96" i="7"/>
  <c r="AW45" i="7"/>
  <c r="AV45" i="7"/>
  <c r="AU45" i="7"/>
  <c r="AT45" i="7"/>
  <c r="T113" i="7" l="1"/>
  <c r="T96" i="7"/>
  <c r="T79" i="7"/>
  <c r="T62" i="7"/>
  <c r="Z64" i="7"/>
  <c r="L65" i="7" s="1"/>
  <c r="AH122" i="7"/>
  <c r="AH121" i="7"/>
  <c r="AP62" i="7"/>
  <c r="AQ62" i="7"/>
  <c r="AR62" i="7"/>
  <c r="AK102" i="7" l="1"/>
  <c r="AH68" i="7"/>
  <c r="AJ102" i="7"/>
  <c r="F116" i="7" l="1"/>
  <c r="AK103" i="7"/>
  <c r="AK104" i="7" s="1"/>
  <c r="AK105" i="7" s="1"/>
  <c r="AJ85" i="7"/>
  <c r="F99" i="7" s="1"/>
  <c r="AL102" i="7"/>
  <c r="AM102" i="7" s="1"/>
  <c r="E115" i="7" s="1"/>
  <c r="AH69" i="7"/>
  <c r="AH70" i="7" s="1"/>
  <c r="AJ103" i="7"/>
  <c r="AJ104" i="7" s="1"/>
  <c r="AI123" i="7" l="1"/>
  <c r="AL85" i="7"/>
  <c r="AM85" i="7" s="1"/>
  <c r="E98" i="7" s="1"/>
  <c r="AJ86" i="7"/>
  <c r="AJ87" i="7" s="1"/>
  <c r="AL103" i="7"/>
  <c r="AM103" i="7" s="1"/>
  <c r="AJ105" i="7"/>
  <c r="AL105" i="7" s="1"/>
  <c r="AM105" i="7" s="1"/>
  <c r="AL104" i="7"/>
  <c r="AM104" i="7" s="1"/>
  <c r="E116" i="7" s="1"/>
  <c r="AH71" i="7"/>
  <c r="AI122" i="7" l="1"/>
  <c r="AL86" i="7"/>
  <c r="AM86" i="7" s="1"/>
  <c r="AJ88" i="7"/>
  <c r="AL88" i="7" s="1"/>
  <c r="AM88" i="7" s="1"/>
  <c r="AL87" i="7"/>
  <c r="AM87" i="7" s="1"/>
  <c r="E99" i="7" s="1"/>
  <c r="AG45" i="7" l="1"/>
  <c r="F33" i="2"/>
  <c r="E33" i="2"/>
  <c r="G33" i="2" l="1"/>
  <c r="BA45" i="7"/>
  <c r="AZ45" i="7"/>
  <c r="AY45" i="7"/>
  <c r="AX45" i="7"/>
  <c r="C23" i="7" l="1"/>
  <c r="G23" i="7"/>
  <c r="F23" i="7"/>
  <c r="D23" i="7"/>
  <c r="H18" i="7"/>
  <c r="AG124" i="7" l="1"/>
  <c r="F8" i="6" s="1"/>
  <c r="C25" i="6" s="1"/>
  <c r="E25" i="6" s="1"/>
  <c r="AD96" i="7"/>
  <c r="AO96" i="7" s="1"/>
  <c r="H23" i="7"/>
  <c r="AD62" i="7"/>
  <c r="AL62" i="7" s="1"/>
  <c r="AD113" i="7"/>
  <c r="AO113" i="7" s="1"/>
  <c r="AD79" i="7"/>
  <c r="AL79" i="7" s="1"/>
  <c r="AD45" i="7"/>
  <c r="AL45" i="7" s="1"/>
  <c r="T45" i="7"/>
  <c r="AC113" i="7"/>
  <c r="AC79" i="7"/>
  <c r="AI79" i="7" s="1"/>
  <c r="AC96" i="7"/>
  <c r="AI96" i="7" s="1"/>
  <c r="AC62" i="7"/>
  <c r="AH62" i="7" s="1"/>
  <c r="AC45" i="7"/>
  <c r="AJ45" i="7" s="1"/>
  <c r="J25" i="6" l="1"/>
  <c r="I25" i="6"/>
  <c r="C28" i="6"/>
  <c r="E28" i="6" s="1"/>
  <c r="C24" i="6"/>
  <c r="E24" i="6" s="1"/>
  <c r="C26" i="6"/>
  <c r="E26" i="6" s="1"/>
  <c r="C27" i="6"/>
  <c r="E27" i="6" s="1"/>
  <c r="C29" i="6"/>
  <c r="E29" i="6" s="1"/>
  <c r="AE45" i="7"/>
  <c r="L45" i="7"/>
  <c r="Z45" i="7" s="1"/>
  <c r="AH119" i="7"/>
  <c r="K45" i="7"/>
  <c r="AL96" i="7"/>
  <c r="AN96" i="7"/>
  <c r="AM96" i="7"/>
  <c r="BD96" i="7" s="1"/>
  <c r="BG96" i="7" s="1"/>
  <c r="C30" i="6"/>
  <c r="E30" i="6" s="1"/>
  <c r="AM62" i="7"/>
  <c r="AO62" i="7"/>
  <c r="AN62" i="7"/>
  <c r="AM79" i="7"/>
  <c r="BD79" i="7" s="1"/>
  <c r="BG79" i="7" s="1"/>
  <c r="AN45" i="7"/>
  <c r="AO79" i="7"/>
  <c r="AO45" i="7"/>
  <c r="AN79" i="7"/>
  <c r="AM45" i="7"/>
  <c r="AL113" i="7"/>
  <c r="AN113" i="7"/>
  <c r="AH79" i="7"/>
  <c r="BB79" i="7" s="1"/>
  <c r="BF79" i="7" s="1"/>
  <c r="AM113" i="7"/>
  <c r="AK113" i="7"/>
  <c r="BE113" i="7" s="1"/>
  <c r="BB62" i="7"/>
  <c r="AI113" i="7"/>
  <c r="AJ113" i="7"/>
  <c r="AH113" i="7"/>
  <c r="AK79" i="7"/>
  <c r="AJ79" i="7"/>
  <c r="AK96" i="7"/>
  <c r="BE96" i="7" s="1"/>
  <c r="AH96" i="7"/>
  <c r="AK62" i="7"/>
  <c r="AJ96" i="7"/>
  <c r="AK45" i="7"/>
  <c r="AI45" i="7"/>
  <c r="AJ62" i="7"/>
  <c r="AH45" i="7"/>
  <c r="AI62" i="7"/>
  <c r="AI34" i="7" l="1"/>
  <c r="AI68" i="7"/>
  <c r="Z47" i="7"/>
  <c r="I27" i="6"/>
  <c r="J27" i="6"/>
  <c r="I26" i="6"/>
  <c r="J26" i="6"/>
  <c r="I28" i="6"/>
  <c r="J28" i="6"/>
  <c r="I24" i="6"/>
  <c r="J24" i="6"/>
  <c r="I30" i="6"/>
  <c r="J30" i="6"/>
  <c r="I29" i="6"/>
  <c r="J29" i="6"/>
  <c r="BB96" i="7"/>
  <c r="AJ68" i="7" s="1"/>
  <c r="AH51" i="7"/>
  <c r="AH34" i="7"/>
  <c r="Y120" i="7"/>
  <c r="K26" i="6"/>
  <c r="K30" i="6"/>
  <c r="K27" i="6"/>
  <c r="K24" i="6"/>
  <c r="K29" i="6"/>
  <c r="AS45" i="7"/>
  <c r="BE45" i="7" s="1"/>
  <c r="AR45" i="7"/>
  <c r="BC45" i="7" s="1"/>
  <c r="AQ45" i="7"/>
  <c r="BD45" i="7" s="1"/>
  <c r="BG45" i="7" s="1"/>
  <c r="AP45" i="7"/>
  <c r="BB45" i="7" s="1"/>
  <c r="AG51" i="7" s="1"/>
  <c r="AB120" i="7"/>
  <c r="AJ124" i="7"/>
  <c r="F6" i="6" s="1"/>
  <c r="AH124" i="7"/>
  <c r="F7" i="6" s="1"/>
  <c r="BC79" i="7"/>
  <c r="BC62" i="7"/>
  <c r="BE62" i="7"/>
  <c r="BC113" i="7"/>
  <c r="BC96" i="7"/>
  <c r="BE79" i="7"/>
  <c r="BB113" i="7"/>
  <c r="BD62" i="7"/>
  <c r="BG62" i="7" s="1"/>
  <c r="BD113" i="7"/>
  <c r="BG113" i="7" s="1"/>
  <c r="BF62" i="7"/>
  <c r="F82" i="7" l="1"/>
  <c r="AG52" i="7"/>
  <c r="AG53" i="7" s="1"/>
  <c r="AG54" i="7" s="1"/>
  <c r="F65" i="7"/>
  <c r="C20" i="6"/>
  <c r="J8" i="6"/>
  <c r="AI35" i="7"/>
  <c r="AI36" i="7" s="1"/>
  <c r="AI37" i="7" s="1"/>
  <c r="AJ69" i="7"/>
  <c r="AJ70" i="7" s="1"/>
  <c r="AJ71" i="7" s="1"/>
  <c r="AI69" i="7"/>
  <c r="AL68" i="7"/>
  <c r="AM68" i="7" s="1"/>
  <c r="E81" i="7" s="1"/>
  <c r="AA120" i="7"/>
  <c r="L48" i="7"/>
  <c r="AK34" i="7"/>
  <c r="AK35" i="7" s="1"/>
  <c r="AK36" i="7" s="1"/>
  <c r="AK37" i="7" s="1"/>
  <c r="BF113" i="7"/>
  <c r="AJ34" i="7"/>
  <c r="AJ35" i="7" s="1"/>
  <c r="AJ36" i="7" s="1"/>
  <c r="AJ37" i="7" s="1"/>
  <c r="BF96" i="7"/>
  <c r="C22" i="6"/>
  <c r="E22" i="6" s="1"/>
  <c r="AH52" i="7"/>
  <c r="AH35" i="7"/>
  <c r="AH36" i="7" s="1"/>
  <c r="AH37" i="7" s="1"/>
  <c r="AL51" i="7"/>
  <c r="AM51" i="7" s="1"/>
  <c r="E64" i="7" s="1"/>
  <c r="AG34" i="7"/>
  <c r="BF45" i="7"/>
  <c r="E20" i="6" l="1"/>
  <c r="I20" i="6" s="1"/>
  <c r="F48" i="7"/>
  <c r="AL52" i="7"/>
  <c r="AM52" i="7" s="1"/>
  <c r="J20" i="6"/>
  <c r="AI121" i="7"/>
  <c r="AI70" i="7"/>
  <c r="AL69" i="7"/>
  <c r="AM69" i="7" s="1"/>
  <c r="I22" i="6"/>
  <c r="AL34" i="7"/>
  <c r="AM34" i="7" s="1"/>
  <c r="AH53" i="7"/>
  <c r="AH54" i="7" s="1"/>
  <c r="AL54" i="7" s="1"/>
  <c r="AM54" i="7" s="1"/>
  <c r="AI120" i="7"/>
  <c r="AG35" i="7"/>
  <c r="AG36" i="7" s="1"/>
  <c r="AI119" i="7" l="1"/>
  <c r="AI124" i="7" s="1"/>
  <c r="C21" i="6" s="1"/>
  <c r="E21" i="6" s="1"/>
  <c r="E47" i="7"/>
  <c r="AI71" i="7"/>
  <c r="AL71" i="7" s="1"/>
  <c r="AM71" i="7" s="1"/>
  <c r="AL70" i="7"/>
  <c r="AM70" i="7" s="1"/>
  <c r="E82" i="7" s="1"/>
  <c r="AL53" i="7"/>
  <c r="AM53" i="7" s="1"/>
  <c r="E65" i="7" s="1"/>
  <c r="AL35" i="7"/>
  <c r="AM35" i="7" s="1"/>
  <c r="AL36" i="7"/>
  <c r="AM36" i="7" s="1"/>
  <c r="E48" i="7" s="1"/>
  <c r="AG37" i="7"/>
  <c r="AL37" i="7" s="1"/>
  <c r="AM37" i="7" s="1"/>
  <c r="I21" i="6" l="1"/>
  <c r="J21" i="6"/>
  <c r="C16" i="6"/>
  <c r="J6" i="6"/>
  <c r="H21" i="6"/>
  <c r="C14" i="6"/>
  <c r="C15" i="6"/>
  <c r="H15" i="6" l="1"/>
  <c r="E15" i="6"/>
  <c r="I15" i="6" s="1"/>
  <c r="H14" i="6"/>
  <c r="E14" i="6"/>
  <c r="I14" i="6" s="1"/>
  <c r="E16" i="6"/>
  <c r="I16" i="6" s="1"/>
  <c r="H16" i="6"/>
  <c r="J16" i="6"/>
  <c r="Z46" i="7" l="1"/>
  <c r="Z120" i="7" l="1"/>
  <c r="J7" i="6" s="1"/>
  <c r="L47" i="7"/>
  <c r="C18" i="6" a="1"/>
  <c r="C18" i="6" s="1"/>
  <c r="E18" i="6" s="1"/>
  <c r="C19" i="6" l="1"/>
  <c r="C17" i="6"/>
  <c r="E17" i="6" s="1"/>
  <c r="I18" i="6"/>
  <c r="I17" i="6" l="1"/>
  <c r="I32" i="6" s="1"/>
  <c r="D34" i="6" s="1"/>
  <c r="E34" i="6" s="1"/>
  <c r="J17" i="6"/>
  <c r="J32" i="6" s="1"/>
  <c r="D35" i="6" s="1"/>
  <c r="D19" i="6"/>
  <c r="H19" i="6"/>
  <c r="H32" i="6" s="1"/>
  <c r="D36" i="6" s="1"/>
  <c r="E36" i="6" s="1"/>
  <c r="AW61" i="6" l="1"/>
  <c r="E35" i="6"/>
  <c r="AU62" i="6"/>
  <c r="AU63" i="6" s="1"/>
  <c r="AV62" i="6"/>
  <c r="AV63" i="6" s="1"/>
  <c r="AW62" i="6"/>
  <c r="AT62" i="6"/>
  <c r="AT63" i="6" s="1"/>
  <c r="AQ62" i="6"/>
  <c r="AP62" i="6"/>
  <c r="AS62" i="6"/>
  <c r="AR62" i="6"/>
  <c r="AP61" i="6"/>
  <c r="AW63" i="6" l="1"/>
  <c r="AS63" i="6"/>
  <c r="AQ63" i="6"/>
  <c r="AP63" i="6"/>
  <c r="AR63" i="6"/>
  <c r="H3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Thierry</author>
  </authors>
  <commentList>
    <comment ref="Z39" authorId="0" shapeId="0" xr:uid="{9FB8CFA9-29F8-5144-81DC-47A0AA691F73}">
      <text>
        <r>
          <rPr>
            <sz val="10"/>
            <color rgb="FF000000"/>
            <rFont val="Tahoma"/>
            <family val="2"/>
          </rPr>
          <t xml:space="preserve">1 switch pour 22 connexions
</t>
        </r>
      </text>
    </comment>
    <comment ref="AC39" authorId="0" shapeId="0" xr:uid="{FA4DA9FF-729E-E849-9877-8446D5EDF977}">
      <text>
        <r>
          <rPr>
            <sz val="10"/>
            <color rgb="FF000000"/>
            <rFont val="Tahoma"/>
            <family val="2"/>
          </rPr>
          <t>basé sur dotation déterminante et le nombre MAX d'élève par classe selon niveau</t>
        </r>
      </text>
    </comment>
    <comment ref="AD39" authorId="0" shapeId="0" xr:uid="{F6C6189A-B561-6746-B21B-30A581D90C5E}">
      <text>
        <r>
          <rPr>
            <sz val="10"/>
            <color rgb="FF000000"/>
            <rFont val="Calibri"/>
            <family val="2"/>
          </rPr>
          <t>basé sur dotation déterminante et la moy cantonale d'élève par classe selon niveau</t>
        </r>
      </text>
    </comment>
    <comment ref="Y45" authorId="0" shapeId="0" xr:uid="{6E79DFBC-4905-924E-A70D-B034DF8EC104}">
      <text>
        <r>
          <rPr>
            <sz val="10"/>
            <color rgb="FF000000"/>
            <rFont val="Tahoma"/>
            <family val="2"/>
          </rPr>
          <t>Solde de connexions après déduction des switches d'étage (dès 22 ports par étage)</t>
        </r>
      </text>
    </comment>
    <comment ref="Z45" authorId="0" shapeId="0" xr:uid="{27BFAF2D-F1B6-1B47-B0BF-BA4F44A0D3AA}">
      <text>
        <r>
          <rPr>
            <sz val="10"/>
            <color rgb="FF000000"/>
            <rFont val="Tahoma"/>
            <family val="2"/>
          </rPr>
          <t>Minimum 1 switch pour le bâtiment + solde de connexions</t>
        </r>
      </text>
    </comment>
    <comment ref="Z47" authorId="0" shapeId="0" xr:uid="{92AFEB39-65A4-D844-9B74-09ABEF8C4B05}">
      <text>
        <r>
          <rPr>
            <sz val="10"/>
            <color rgb="FF000000"/>
            <rFont val="Tahoma"/>
            <family val="2"/>
          </rPr>
          <t>Armoire pour switch : 1 par étage disposant d'un switch</t>
        </r>
      </text>
    </comment>
    <comment ref="Z56" authorId="0" shapeId="0" xr:uid="{01371931-B8BB-7749-B10A-9AEEBC0ABA05}">
      <text>
        <r>
          <rPr>
            <sz val="10"/>
            <color rgb="FF000000"/>
            <rFont val="Tahoma"/>
            <family val="2"/>
          </rPr>
          <t xml:space="preserve">1 switch pour 22 connexions
</t>
        </r>
      </text>
    </comment>
    <comment ref="Y62" authorId="0" shapeId="0" xr:uid="{E59FE653-D4B7-B64C-83D7-A7EC43D6566E}">
      <text>
        <r>
          <rPr>
            <sz val="10"/>
            <color rgb="FF000000"/>
            <rFont val="Tahoma"/>
            <family val="2"/>
          </rPr>
          <t>Solde de connexions après déduction des switches d'étage (dès 22 ports par étage)</t>
        </r>
      </text>
    </comment>
    <comment ref="Z62" authorId="0" shapeId="0" xr:uid="{8AEEA854-A29F-764B-98DF-649E6673D5EE}">
      <text>
        <r>
          <rPr>
            <sz val="10"/>
            <color rgb="FF000000"/>
            <rFont val="Tahoma"/>
            <family val="2"/>
          </rPr>
          <t>Minimum 1 switch pour le bâtiment + solde de connexions</t>
        </r>
      </text>
    </comment>
    <comment ref="Z64" authorId="0" shapeId="0" xr:uid="{7292203E-F277-3F43-9D17-D3ABA3EBC5C8}">
      <text>
        <r>
          <rPr>
            <sz val="10"/>
            <color rgb="FF000000"/>
            <rFont val="Tahoma"/>
            <family val="2"/>
          </rPr>
          <t>Armoire pour switch : 1 par étage disposant d'un switch</t>
        </r>
      </text>
    </comment>
    <comment ref="Z73" authorId="0" shapeId="0" xr:uid="{1C9A8588-B1D9-834D-A5E7-440C8222F477}">
      <text>
        <r>
          <rPr>
            <sz val="10"/>
            <color rgb="FF000000"/>
            <rFont val="Tahoma"/>
            <family val="2"/>
          </rPr>
          <t xml:space="preserve">1 switch pour 22 connexions
</t>
        </r>
      </text>
    </comment>
    <comment ref="Y79" authorId="0" shapeId="0" xr:uid="{EBE38EC4-8C35-D847-8347-4D727E127EB8}">
      <text>
        <r>
          <rPr>
            <sz val="10"/>
            <color rgb="FF000000"/>
            <rFont val="Tahoma"/>
            <family val="2"/>
          </rPr>
          <t>Solde de connexions après déduction des switches d'étage (dès 22 ports par étage)</t>
        </r>
      </text>
    </comment>
    <comment ref="Z79" authorId="0" shapeId="0" xr:uid="{61D254CE-8B8E-A944-AF25-D1EDBC120AA6}">
      <text>
        <r>
          <rPr>
            <sz val="10"/>
            <color rgb="FF000000"/>
            <rFont val="Tahoma"/>
            <family val="2"/>
          </rPr>
          <t>Minimum 1 switch pour le bâtiment + solde de connexions</t>
        </r>
      </text>
    </comment>
    <comment ref="Z81" authorId="0" shapeId="0" xr:uid="{117FCD58-7C9C-0441-9D66-0E503B2C13BC}">
      <text>
        <r>
          <rPr>
            <sz val="10"/>
            <color rgb="FF000000"/>
            <rFont val="Tahoma"/>
            <family val="2"/>
          </rPr>
          <t>Armoire pour switch : 1 par étage disposant d'un switch</t>
        </r>
      </text>
    </comment>
    <comment ref="Z90" authorId="0" shapeId="0" xr:uid="{DAA05C92-A40F-524B-AABC-39BC8717F094}">
      <text>
        <r>
          <rPr>
            <sz val="10"/>
            <color rgb="FF000000"/>
            <rFont val="Tahoma"/>
            <family val="2"/>
          </rPr>
          <t xml:space="preserve">1 switch pour 22 connexions
</t>
        </r>
      </text>
    </comment>
    <comment ref="Y96" authorId="0" shapeId="0" xr:uid="{C0317932-D780-5044-AC01-1FB0968DA178}">
      <text>
        <r>
          <rPr>
            <sz val="10"/>
            <color rgb="FF000000"/>
            <rFont val="Tahoma"/>
            <family val="2"/>
          </rPr>
          <t>Solde de connexions après déduction des switches d'étage (dès 22 ports par étage)</t>
        </r>
      </text>
    </comment>
    <comment ref="Z96" authorId="0" shapeId="0" xr:uid="{6ECD8396-52FA-F246-8EBB-C5C4C19B8C56}">
      <text>
        <r>
          <rPr>
            <sz val="10"/>
            <color rgb="FF000000"/>
            <rFont val="Tahoma"/>
            <family val="2"/>
          </rPr>
          <t>Minimum 1 switch pour le bâtiment + solde de connexions</t>
        </r>
      </text>
    </comment>
    <comment ref="Z98" authorId="0" shapeId="0" xr:uid="{70CA61C0-45B9-5B40-9082-F32961E15366}">
      <text>
        <r>
          <rPr>
            <sz val="10"/>
            <color rgb="FF000000"/>
            <rFont val="Tahoma"/>
            <family val="2"/>
          </rPr>
          <t>Armoire pour switch : 1 par étage disposant d'un switch</t>
        </r>
      </text>
    </comment>
    <comment ref="Z107" authorId="0" shapeId="0" xr:uid="{8479D88B-D9AA-DB4B-8EF1-4129144A2ECE}">
      <text>
        <r>
          <rPr>
            <sz val="10"/>
            <color rgb="FF000000"/>
            <rFont val="Tahoma"/>
            <family val="2"/>
          </rPr>
          <t xml:space="preserve">1 switch pour 22 connexions
</t>
        </r>
      </text>
    </comment>
    <comment ref="Y113" authorId="0" shapeId="0" xr:uid="{97EDE85E-BF48-B44F-8CBA-D10C1D779F00}">
      <text>
        <r>
          <rPr>
            <sz val="10"/>
            <color rgb="FF000000"/>
            <rFont val="Tahoma"/>
            <family val="2"/>
          </rPr>
          <t>Solde de connexions après déduction des switches d'étage (dès 22 ports par étage)</t>
        </r>
      </text>
    </comment>
    <comment ref="Z113" authorId="0" shapeId="0" xr:uid="{3DC94606-E354-5D43-B040-43AAD5582196}">
      <text>
        <r>
          <rPr>
            <sz val="10"/>
            <color rgb="FF000000"/>
            <rFont val="Tahoma"/>
            <family val="2"/>
          </rPr>
          <t>Minimum 1 switch pour le bâtiment + solde de connexions</t>
        </r>
      </text>
    </comment>
    <comment ref="Z115" authorId="0" shapeId="0" xr:uid="{A9DDC7A1-5D0C-4742-84E4-FF12D1D23B91}">
      <text>
        <r>
          <rPr>
            <sz val="10"/>
            <color rgb="FF000000"/>
            <rFont val="Tahoma"/>
            <family val="2"/>
          </rPr>
          <t>Armoire pour switch : 1 par étage disposant d'un switch</t>
        </r>
      </text>
    </comment>
    <comment ref="AH118" authorId="0" shapeId="0" xr:uid="{1C9266E2-2427-AC4E-93D0-03CE5CF10E20}">
      <text>
        <r>
          <rPr>
            <sz val="10"/>
            <color rgb="FF000000"/>
            <rFont val="Tahoma"/>
            <family val="2"/>
          </rPr>
          <t xml:space="preserve">Déterminé par nombre de salles de classe.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Thierry</author>
  </authors>
  <commentList>
    <comment ref="A35" authorId="0" shapeId="0" xr:uid="{202AC943-0C6C-D845-9821-562310AF2318}">
      <text>
        <r>
          <rPr>
            <b/>
            <sz val="10"/>
            <color rgb="FF000000"/>
            <rFont val="Tahoma"/>
            <family val="2"/>
          </rPr>
          <t>Thierry:</t>
        </r>
        <r>
          <rPr>
            <sz val="10"/>
            <color rgb="FF000000"/>
            <rFont val="Tahoma"/>
            <family val="2"/>
          </rPr>
          <t xml:space="preserve">
</t>
        </r>
        <r>
          <rPr>
            <sz val="10"/>
            <color rgb="FF000000"/>
            <rFont val="Tahoma"/>
            <family val="2"/>
          </rPr>
          <t>Testé avec la console debug de Youtube et les outils de dév Chrome</t>
        </r>
      </text>
    </comment>
    <comment ref="B35" authorId="0" shapeId="0" xr:uid="{E034FC38-7263-1C40-AC0D-A62FF5087308}">
      <text>
        <r>
          <rPr>
            <sz val="10"/>
            <color rgb="FF000000"/>
            <rFont val="Tahoma"/>
            <family val="2"/>
          </rPr>
          <t xml:space="preserve">Diffusion limite en 1080p
</t>
        </r>
      </text>
    </comment>
    <comment ref="C35" authorId="0" shapeId="0" xr:uid="{0022C1EB-29DA-524A-9208-1F80F54003CC}">
      <text>
        <r>
          <rPr>
            <sz val="10"/>
            <color rgb="FF000000"/>
            <rFont val="Tahoma"/>
            <family val="2"/>
          </rPr>
          <t xml:space="preserve">Diffusion limite en 4K
</t>
        </r>
      </text>
    </comment>
    <comment ref="B36" authorId="0" shapeId="0" xr:uid="{34C6ADB3-8437-654A-A2AA-4C662114A337}">
      <text>
        <r>
          <rPr>
            <sz val="10"/>
            <color rgb="FF000000"/>
            <rFont val="Tahoma"/>
            <family val="2"/>
          </rPr>
          <t xml:space="preserve">Diffusion limite en 720p
</t>
        </r>
      </text>
    </comment>
    <comment ref="C36" authorId="0" shapeId="0" xr:uid="{56B84ED9-28D0-7448-917D-5F60C315B337}">
      <text>
        <r>
          <rPr>
            <sz val="10"/>
            <color rgb="FF000000"/>
            <rFont val="Tahoma"/>
            <family val="2"/>
          </rPr>
          <t xml:space="preserve">Diffusion en 1080p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<sst xmlns="http://schemas.openxmlformats.org/spreadsheetml/2006/main" count="738" uniqueCount="354">
  <si>
    <t>CALCULATEUR DES BESOINS NUMÉRIQUES
Description</t>
  </si>
  <si>
    <t>OBJECTIFS</t>
  </si>
  <si>
    <t>AVANT DE REMPLIR …</t>
  </si>
  <si>
    <r>
      <t xml:space="preserve">Réunir la "commission informatique" de l'établissement, qui doit être composée de la direction d'école, la personne ressource, certain-e-s utilisateur-trices de l'école impliqué-e-s dans le numérique et le responsable informatique ou technique* scolaire ou communal. La coordination avec les responsables scolaires communaux doit être assurée. Nous recommandons des séances de travail en commun pour le remplissage de ce document.
* </t>
    </r>
    <r>
      <rPr>
        <i/>
        <sz val="10"/>
        <rFont val="Calibri"/>
        <family val="2"/>
        <scheme val="minor"/>
      </rPr>
      <t>en l'absence de responsable informatique, se faire accompagner par des experts techniques du domaine.</t>
    </r>
  </si>
  <si>
    <t>CALCUL DES COÛTS</t>
  </si>
  <si>
    <r>
      <t xml:space="preserve">Les montants sont calculés sur la base de prix moyens pour des équipements courants et une infrastructure conventionelle. Les totaux des coûts annuels et uniques donnent une information estimative et sans garantie à la commune. 
Les </t>
    </r>
    <r>
      <rPr>
        <i/>
        <sz val="10"/>
        <color theme="1"/>
        <rFont val="Calibri"/>
        <family val="2"/>
        <scheme val="minor"/>
      </rPr>
      <t>coûts totaux uniques initiaux</t>
    </r>
    <r>
      <rPr>
        <sz val="10"/>
        <color theme="1"/>
        <rFont val="Calibri"/>
        <family val="2"/>
        <scheme val="minor"/>
      </rPr>
      <t xml:space="preserve"> sont les coûts d'investissement pour acquérir les éléments liés à la connexion et aux périphériques,  et les</t>
    </r>
    <r>
      <rPr>
        <i/>
        <sz val="10"/>
        <color theme="1"/>
        <rFont val="Calibri"/>
        <family val="2"/>
        <scheme val="minor"/>
      </rPr>
      <t xml:space="preserve"> coûts totaux de renouvellement</t>
    </r>
    <r>
      <rPr>
        <sz val="10"/>
        <color theme="1"/>
        <rFont val="Calibri"/>
        <family val="2"/>
        <scheme val="minor"/>
      </rPr>
      <t xml:space="preserve"> prévoyent un renouvellement de ces derniers </t>
    </r>
    <r>
      <rPr>
        <b/>
        <sz val="10"/>
        <rFont val="Calibri"/>
        <family val="2"/>
        <scheme val="minor"/>
      </rPr>
      <t>tous les 7 ans</t>
    </r>
    <r>
      <rPr>
        <sz val="10"/>
        <color theme="1"/>
        <rFont val="Calibri"/>
        <family val="2"/>
        <scheme val="minor"/>
      </rPr>
      <t>. A remarquer que la durée de vie réelle du matériel va dépendre de son taux d'utilisation et de sa qualité.
En fonction de la volumétrie, des choix technologiques et de fournisseurs, le montant total réel pourra être nettement supérieur ou inférieur. Par exemple, le choix technologique d'un tableau interactif (déconseillé par l'assemblée plenière de la CIIP du 22 novembre 2018) sera beaucoup plus onéreux qu'un beamer sans interactivité. Les coûts seront aussi différents si un contrat de maintenance est conclu avec une entreprise IT partenaire de la commune ou en fonction du type de gestion de l'infrastructure, etc.</t>
    </r>
  </si>
  <si>
    <t>HORS PÉRIMÈTRE DU CALCULATEUR</t>
  </si>
  <si>
    <t>CALCULATEUR DES BESOINS NUMÉRIQUES
Mode d'emploi</t>
  </si>
  <si>
    <r>
      <t xml:space="preserve">Avant toute chose, </t>
    </r>
    <r>
      <rPr>
        <b/>
        <u/>
        <sz val="10"/>
        <color rgb="FF0B898F"/>
        <rFont val="Calibri"/>
        <family val="2"/>
        <scheme val="minor"/>
      </rPr>
      <t>un</t>
    </r>
    <r>
      <rPr>
        <b/>
        <sz val="10"/>
        <color rgb="FF0B898F"/>
        <rFont val="Calibri"/>
        <family val="2"/>
        <scheme val="minor"/>
      </rPr>
      <t xml:space="preserve"> calculateur de besoins numériques doit être complété </t>
    </r>
    <r>
      <rPr>
        <b/>
        <u/>
        <sz val="10"/>
        <color rgb="FF0B898F"/>
        <rFont val="Calibri"/>
        <family val="2"/>
        <scheme val="minor"/>
      </rPr>
      <t>par établissement scolaire</t>
    </r>
    <r>
      <rPr>
        <sz val="10"/>
        <color theme="1"/>
        <rFont val="Calibri"/>
        <family val="2"/>
        <scheme val="minor"/>
      </rPr>
      <t>.</t>
    </r>
  </si>
  <si>
    <r>
      <rPr>
        <b/>
        <sz val="14"/>
        <color theme="0"/>
        <rFont val="Calibri"/>
        <family val="2"/>
        <scheme val="minor"/>
      </rPr>
      <t>Etape 1</t>
    </r>
    <r>
      <rPr>
        <sz val="14"/>
        <color theme="0"/>
        <rFont val="Calibri"/>
        <family val="2"/>
        <scheme val="minor"/>
      </rPr>
      <t xml:space="preserve"> : compléter le formulaire </t>
    </r>
    <r>
      <rPr>
        <b/>
        <i/>
        <sz val="14"/>
        <color theme="0"/>
        <rFont val="Calibri"/>
        <family val="2"/>
        <scheme val="minor"/>
      </rPr>
      <t>1. Données logistiques</t>
    </r>
    <r>
      <rPr>
        <sz val="14"/>
        <color theme="0"/>
        <rFont val="Calibri"/>
        <family val="2"/>
        <scheme val="minor"/>
      </rPr>
      <t xml:space="preserve"> </t>
    </r>
    <r>
      <rPr>
        <b/>
        <i/>
        <sz val="14"/>
        <color theme="0"/>
        <rFont val="Calibri"/>
        <family val="2"/>
        <scheme val="minor"/>
      </rPr>
      <t>et organisationnelles</t>
    </r>
  </si>
  <si>
    <r>
      <t xml:space="preserve">Pour obtenir ces informations, il vous faudra </t>
    </r>
    <r>
      <rPr>
        <b/>
        <sz val="10"/>
        <color theme="1"/>
        <rFont val="Calibri"/>
        <family val="2"/>
        <scheme val="minor"/>
      </rPr>
      <t>compléter</t>
    </r>
    <r>
      <rPr>
        <sz val="10"/>
        <color theme="1"/>
        <rFont val="Calibri"/>
        <family val="2"/>
        <scheme val="minor"/>
      </rPr>
      <t xml:space="preserve"> les </t>
    </r>
    <r>
      <rPr>
        <sz val="10"/>
        <color rgb="FF0070C0"/>
        <rFont val="Calibri"/>
        <family val="2"/>
        <scheme val="minor"/>
      </rPr>
      <t>champs sur fond blanc</t>
    </r>
    <r>
      <rPr>
        <sz val="10"/>
        <color theme="1"/>
        <rFont val="Calibri"/>
        <family val="2"/>
        <scheme val="minor"/>
      </rPr>
      <t xml:space="preserve">.
</t>
    </r>
    <r>
      <rPr>
        <b/>
        <sz val="10"/>
        <color rgb="FF0B898F"/>
        <rFont val="Calibri"/>
        <family val="2"/>
        <scheme val="minor"/>
      </rPr>
      <t xml:space="preserve">1- BASES DE CALCUL : </t>
    </r>
    <r>
      <rPr>
        <sz val="10"/>
        <color theme="1"/>
        <rFont val="Calibri"/>
        <family val="2"/>
        <scheme val="minor"/>
      </rPr>
      <t xml:space="preserve">
</t>
    </r>
    <r>
      <rPr>
        <sz val="10"/>
        <color rgb="FF1FB7C6"/>
        <rFont val="Calibri"/>
        <family val="2"/>
        <scheme val="minor"/>
      </rPr>
      <t>•</t>
    </r>
    <r>
      <rPr>
        <sz val="10"/>
        <color theme="1"/>
        <rFont val="Calibri"/>
        <family val="2"/>
        <scheme val="minor"/>
      </rPr>
      <t xml:space="preserve"> Les effectifs scolaires physiques réels à date
</t>
    </r>
    <r>
      <rPr>
        <sz val="10"/>
        <color rgb="FF1FB7C6"/>
        <rFont val="Calibri"/>
        <family val="2"/>
        <scheme val="minor"/>
      </rPr>
      <t>•</t>
    </r>
    <r>
      <rPr>
        <sz val="10"/>
        <color theme="1"/>
        <rFont val="Calibri"/>
        <family val="2"/>
        <scheme val="minor"/>
      </rPr>
      <t xml:space="preserve"> Les normes de dotation de l'école (voir encart "Zoom sur les normes de dotation")</t>
    </r>
  </si>
  <si>
    <r>
      <rPr>
        <b/>
        <sz val="10"/>
        <color rgb="FF0B898F"/>
        <rFont val="Calibri"/>
        <family val="2"/>
        <scheme val="minor"/>
      </rPr>
      <t>2- CALCUL DU RÉSEAU, DES ACCÈS INTERNET ET SYSTÈMES DE RANGEMENT :</t>
    </r>
    <r>
      <rPr>
        <sz val="10"/>
        <color theme="1"/>
        <rFont val="Calibri"/>
        <family val="2"/>
        <scheme val="minor"/>
      </rPr>
      <t xml:space="preserve"> 1 bâtiment* = 1 tableau à compléter 
*</t>
    </r>
    <r>
      <rPr>
        <i/>
        <sz val="10"/>
        <color theme="1"/>
        <rFont val="Calibri"/>
        <family val="2"/>
        <scheme val="minor"/>
      </rPr>
      <t>Bâtiment = construction isolée ou plusieurs constructions constituant une entité de bâtiments interconnectés situés au même endroit</t>
    </r>
    <r>
      <rPr>
        <sz val="10"/>
        <color theme="1"/>
        <rFont val="Calibri"/>
        <family val="2"/>
        <scheme val="minor"/>
      </rPr>
      <t xml:space="preserve">
Adapter à votre situation, le nombre de bâtiments et d'étages, de salles de classe,... :
</t>
    </r>
    <r>
      <rPr>
        <sz val="10"/>
        <color rgb="FF1FB7C6"/>
        <rFont val="Calibri"/>
        <family val="2"/>
        <scheme val="minor"/>
      </rPr>
      <t xml:space="preserve">• </t>
    </r>
    <r>
      <rPr>
        <sz val="10"/>
        <color theme="1"/>
        <rFont val="Calibri"/>
        <family val="2"/>
        <scheme val="minor"/>
      </rPr>
      <t xml:space="preserve">Répartir les </t>
    </r>
    <r>
      <rPr>
        <b/>
        <sz val="10"/>
        <color theme="1"/>
        <rFont val="Calibri"/>
        <family val="2"/>
        <scheme val="minor"/>
      </rPr>
      <t>salles de classes ordinaires</t>
    </r>
    <r>
      <rPr>
        <sz val="10"/>
        <color theme="1"/>
        <rFont val="Calibri"/>
        <family val="2"/>
        <scheme val="minor"/>
      </rPr>
      <t xml:space="preserve"> des différents degrés dans les différents étages du bâtim</t>
    </r>
    <r>
      <rPr>
        <sz val="10"/>
        <rFont val="Calibri"/>
        <family val="2"/>
        <scheme val="minor"/>
      </rPr>
      <t xml:space="preserve">ent. 
</t>
    </r>
    <r>
      <rPr>
        <sz val="10"/>
        <rFont val="Webdings"/>
        <family val="1"/>
        <charset val="2"/>
      </rPr>
      <t xml:space="preserve">  i</t>
    </r>
    <r>
      <rPr>
        <sz val="12"/>
        <rFont val="Calibri"/>
        <family val="2"/>
      </rPr>
      <t xml:space="preserve"> </t>
    </r>
    <r>
      <rPr>
        <sz val="10"/>
        <rFont val="Calibri"/>
        <family val="2"/>
        <scheme val="minor"/>
      </rPr>
      <t xml:space="preserve">Pour les salles de classes à niveaux multiples, leur attribuer le </t>
    </r>
    <r>
      <rPr>
        <u/>
        <sz val="10"/>
        <rFont val="Calibri"/>
        <family val="2"/>
        <scheme val="minor"/>
      </rPr>
      <t>niveau le plus haut</t>
    </r>
    <r>
      <rPr>
        <sz val="10"/>
        <rFont val="Calibri"/>
        <family val="2"/>
        <scheme val="minor"/>
      </rPr>
      <t xml:space="preserve"> (degré scolaire).</t>
    </r>
    <r>
      <rPr>
        <sz val="10"/>
        <color theme="1"/>
        <rFont val="Calibri"/>
        <family val="2"/>
        <scheme val="minor"/>
      </rPr>
      <t xml:space="preserve">
</t>
    </r>
    <r>
      <rPr>
        <sz val="10"/>
        <color rgb="FF1FB7C6"/>
        <rFont val="Calibri"/>
        <family val="2"/>
        <scheme val="minor"/>
      </rPr>
      <t>•</t>
    </r>
    <r>
      <rPr>
        <sz val="10"/>
        <color theme="1"/>
        <rFont val="Calibri"/>
        <family val="2"/>
        <scheme val="minor"/>
      </rPr>
      <t xml:space="preserve"> Ajouter les</t>
    </r>
    <r>
      <rPr>
        <b/>
        <sz val="10"/>
        <color theme="1"/>
        <rFont val="Calibri"/>
        <family val="2"/>
        <scheme val="minor"/>
      </rPr>
      <t xml:space="preserve"> salles de classe de classes spéciales</t>
    </r>
    <r>
      <rPr>
        <sz val="10"/>
        <color theme="1"/>
        <rFont val="Calibri"/>
        <family val="2"/>
        <scheme val="minor"/>
      </rPr>
      <t xml:space="preserve"> : salles d'enseignement comme les salles de science, de musique,... Comme pour les salles de classe ordinaires, elles nécessitent un système de projection et audio, une connexion internet câblée, une docking,...
</t>
    </r>
    <r>
      <rPr>
        <sz val="10"/>
        <color rgb="FF1FB7C6"/>
        <rFont val="Calibri"/>
        <family val="2"/>
        <scheme val="minor"/>
      </rPr>
      <t>•</t>
    </r>
    <r>
      <rPr>
        <sz val="10"/>
        <color theme="1"/>
        <rFont val="Calibri"/>
        <family val="2"/>
        <scheme val="minor"/>
      </rPr>
      <t xml:space="preserve"> Ajouter les</t>
    </r>
    <r>
      <rPr>
        <b/>
        <sz val="10"/>
        <color theme="1"/>
        <rFont val="Calibri"/>
        <family val="2"/>
        <scheme val="minor"/>
      </rPr>
      <t xml:space="preserve"> autres places de travail </t>
    </r>
    <r>
      <rPr>
        <sz val="10"/>
        <color theme="1"/>
        <rFont val="Calibri"/>
        <family val="2"/>
        <scheme val="minor"/>
      </rPr>
      <t>de l'établissement qui auront des places de travail ou des appareils connectés à internet, soit par câble, soit par wifi. Il s'agit par exemple des photocopieurs, salles de sport, aulas, bureaux des psychologues ou de la Direction, administration, bibliothèque scolaire, salle des maîtres, salle informatique (si maintenue),...
Cela permettra d'évaluer :</t>
    </r>
    <r>
      <rPr>
        <b/>
        <sz val="10"/>
        <color theme="1"/>
        <rFont val="Calibri"/>
        <family val="2"/>
        <scheme val="minor"/>
      </rPr>
      <t xml:space="preserve"> 
        1-</t>
    </r>
    <r>
      <rPr>
        <sz val="10"/>
        <color theme="1"/>
        <rFont val="Calibri"/>
        <family val="2"/>
        <scheme val="minor"/>
      </rPr>
      <t xml:space="preserve"> Le nombre d'équipements qui devront êtres </t>
    </r>
    <r>
      <rPr>
        <b/>
        <sz val="10"/>
        <color theme="1"/>
        <rFont val="Calibri"/>
        <family val="2"/>
        <scheme val="minor"/>
      </rPr>
      <t>câblés</t>
    </r>
    <r>
      <rPr>
        <sz val="10"/>
        <color theme="1"/>
        <rFont val="Calibri"/>
        <family val="2"/>
        <scheme val="minor"/>
      </rPr>
      <t xml:space="preserve"> au réseau (impacte le nombre de switchs) 
        </t>
    </r>
    <r>
      <rPr>
        <b/>
        <sz val="10"/>
        <color theme="1"/>
        <rFont val="Calibri"/>
        <family val="2"/>
        <scheme val="minor"/>
      </rPr>
      <t>2-</t>
    </r>
    <r>
      <rPr>
        <sz val="10"/>
        <color theme="1"/>
        <rFont val="Calibri"/>
        <family val="2"/>
        <scheme val="minor"/>
      </rPr>
      <t xml:space="preserve"> Le nombre d'équipements qui seront connectés au</t>
    </r>
    <r>
      <rPr>
        <b/>
        <sz val="10"/>
        <color theme="1"/>
        <rFont val="Calibri"/>
        <family val="2"/>
        <scheme val="minor"/>
      </rPr>
      <t xml:space="preserve"> wifi</t>
    </r>
    <r>
      <rPr>
        <sz val="10"/>
        <color theme="1"/>
        <rFont val="Calibri"/>
        <family val="2"/>
        <scheme val="minor"/>
      </rPr>
      <t xml:space="preserve"> (impacte la bande passante nécessaire)</t>
    </r>
    <r>
      <rPr>
        <sz val="10"/>
        <color rgb="FF1FB7C6"/>
        <rFont val="Calibri"/>
        <family val="2"/>
        <scheme val="minor"/>
      </rPr>
      <t xml:space="preserve">
•</t>
    </r>
    <r>
      <rPr>
        <sz val="10"/>
        <color theme="1"/>
        <rFont val="Calibri"/>
        <family val="2"/>
        <scheme val="minor"/>
      </rPr>
      <t xml:space="preserve"> Ajouter les</t>
    </r>
    <r>
      <rPr>
        <b/>
        <sz val="10"/>
        <color theme="1"/>
        <rFont val="Calibri"/>
        <family val="2"/>
        <scheme val="minor"/>
      </rPr>
      <t xml:space="preserve"> systèmes de rangement</t>
    </r>
    <r>
      <rPr>
        <sz val="10"/>
        <color theme="1"/>
        <rFont val="Calibri"/>
        <family val="2"/>
        <scheme val="minor"/>
      </rPr>
      <t xml:space="preserve"> nécessaires </t>
    </r>
    <r>
      <rPr>
        <u/>
        <sz val="10"/>
        <color theme="1"/>
        <rFont val="Calibri"/>
        <family val="2"/>
        <scheme val="minor"/>
      </rPr>
      <t>par étage</t>
    </r>
    <r>
      <rPr>
        <sz val="10"/>
        <color theme="1"/>
        <rFont val="Calibri"/>
        <family val="2"/>
        <scheme val="minor"/>
      </rPr>
      <t>. Pour simplifier, le tableau ne permet pas de saisir plusieurs types de rangement par étage. L'idée est de donner un ordre de grandeur des investissements à réaliser pour ranger les équipements.</t>
    </r>
  </si>
  <si>
    <r>
      <rPr>
        <b/>
        <sz val="14"/>
        <color theme="0"/>
        <rFont val="Calibri"/>
        <family val="2"/>
        <scheme val="minor"/>
      </rPr>
      <t>Etape 2</t>
    </r>
    <r>
      <rPr>
        <sz val="14"/>
        <color theme="0"/>
        <rFont val="Calibri"/>
        <family val="2"/>
        <scheme val="minor"/>
      </rPr>
      <t xml:space="preserve"> : compléter le formulaire </t>
    </r>
    <r>
      <rPr>
        <b/>
        <i/>
        <sz val="14"/>
        <color theme="0"/>
        <rFont val="Calibri"/>
        <family val="2"/>
        <scheme val="minor"/>
      </rPr>
      <t>2. Estimations des coûts de l'infrastructure technique</t>
    </r>
  </si>
  <si>
    <r>
      <t xml:space="preserve">Pour compléter le formulaire </t>
    </r>
    <r>
      <rPr>
        <i/>
        <sz val="10"/>
        <color theme="1"/>
        <rFont val="Calibri"/>
        <family val="2"/>
        <scheme val="minor"/>
      </rPr>
      <t>2. Estimations des coûts de l'infrastructure technique</t>
    </r>
    <r>
      <rPr>
        <sz val="10"/>
        <color theme="1"/>
        <rFont val="Calibri"/>
        <family val="2"/>
        <scheme val="minor"/>
      </rPr>
      <t>, cliquer sur le bouton "</t>
    </r>
    <r>
      <rPr>
        <i/>
        <sz val="10"/>
        <color theme="1"/>
        <rFont val="Calibri"/>
        <family val="2"/>
        <scheme val="minor"/>
      </rPr>
      <t>Vers 2. Estimations des coûts de l'infrastructure technique</t>
    </r>
    <r>
      <rPr>
        <sz val="10"/>
        <color theme="1"/>
        <rFont val="Calibri"/>
        <family val="2"/>
        <scheme val="minor"/>
      </rPr>
      <t xml:space="preserve">" en haut, à droite du formulaire 1.
Comme dans le formulaire 1, les champs à compléter sont les </t>
    </r>
    <r>
      <rPr>
        <sz val="10"/>
        <color rgb="FF0070C0"/>
        <rFont val="Calibri"/>
        <family val="2"/>
        <scheme val="minor"/>
      </rPr>
      <t>champs sur fond blanc</t>
    </r>
    <r>
      <rPr>
        <sz val="10"/>
        <color theme="1"/>
        <rFont val="Calibri"/>
        <family val="2"/>
        <scheme val="minor"/>
      </rPr>
      <t xml:space="preserve">.
</t>
    </r>
    <r>
      <rPr>
        <sz val="10"/>
        <color rgb="FF1FB7C6"/>
        <rFont val="Calibri (Corps)"/>
      </rPr>
      <t>•</t>
    </r>
    <r>
      <rPr>
        <sz val="10"/>
        <color theme="1"/>
        <rFont val="Calibri"/>
        <family val="2"/>
        <scheme val="minor"/>
      </rPr>
      <t xml:space="preserve"> Modifier pour les salles et bâtiments le nombre d'équipements déjà "</t>
    </r>
    <r>
      <rPr>
        <b/>
        <sz val="10"/>
        <color theme="1"/>
        <rFont val="Calibri"/>
        <family val="2"/>
        <scheme val="minor"/>
      </rPr>
      <t>existants et à conserver</t>
    </r>
    <r>
      <rPr>
        <sz val="10"/>
        <color theme="1"/>
        <rFont val="Calibri"/>
        <family val="2"/>
        <scheme val="minor"/>
      </rPr>
      <t>". 
Le nombre de ce qui est "Manquant - à renouveler" se calcule automatiquement en fonction du nombre de salles, de bâtiments et d'étages.</t>
    </r>
  </si>
  <si>
    <t>CALCULATEUR DES BESOINS NUMÉRIQUES
1. Données logistiques et organisationnelles cibles</t>
  </si>
  <si>
    <t>Etablissement</t>
  </si>
  <si>
    <r>
      <t xml:space="preserve">* </t>
    </r>
    <r>
      <rPr>
        <i/>
        <sz val="11"/>
        <color theme="1"/>
        <rFont val="Calibri"/>
        <family val="2"/>
        <scheme val="minor"/>
      </rPr>
      <t>Le terme «élèves» désigne les élèves physiques de l'enseignement obligatoire</t>
    </r>
  </si>
  <si>
    <t>1- BASES DE CALCUL</t>
  </si>
  <si>
    <t>Effectifs scolaires</t>
  </si>
  <si>
    <t>1-2H</t>
  </si>
  <si>
    <t>3-4H</t>
  </si>
  <si>
    <t>5-6H</t>
  </si>
  <si>
    <t>7-8H</t>
  </si>
  <si>
    <t>9-11H</t>
  </si>
  <si>
    <t>Total</t>
  </si>
  <si>
    <t>Nb. Élèves physiques*</t>
  </si>
  <si>
    <t>Pas vertical</t>
  </si>
  <si>
    <t>Nb. Classes</t>
  </si>
  <si>
    <t>Dotations d'équipements élèves*</t>
  </si>
  <si>
    <r>
      <t xml:space="preserve">N par </t>
    </r>
    <r>
      <rPr>
        <u/>
        <sz val="11"/>
        <color theme="1"/>
        <rFont val="Calibri"/>
        <family val="2"/>
        <scheme val="minor"/>
      </rPr>
      <t>classe</t>
    </r>
  </si>
  <si>
    <t>1 pour N élèves</t>
  </si>
  <si>
    <t>Récapitulatif des systèmes de rangement des équipements numériques</t>
  </si>
  <si>
    <t>Coût d'un switch d'étage</t>
  </si>
  <si>
    <t>Ports</t>
  </si>
  <si>
    <t>Type</t>
  </si>
  <si>
    <t>Nombre total</t>
  </si>
  <si>
    <t>Prix unit.</t>
  </si>
  <si>
    <t>Prix total</t>
  </si>
  <si>
    <t>Switch</t>
  </si>
  <si>
    <t>Armoire switch</t>
  </si>
  <si>
    <t>Coût tirage câble Eth</t>
  </si>
  <si>
    <t>par port</t>
  </si>
  <si>
    <t>Valeur déterminante</t>
  </si>
  <si>
    <t>Nb. Équip. Élèves</t>
  </si>
  <si>
    <t>Moy. élèves par classe</t>
  </si>
  <si>
    <t>Moy. Canton</t>
  </si>
  <si>
    <t>Coût carottage 10 cm</t>
  </si>
  <si>
    <r>
      <t xml:space="preserve">2- CALCUL DU </t>
    </r>
    <r>
      <rPr>
        <b/>
        <sz val="14"/>
        <color theme="0"/>
        <rFont val="Calibri"/>
        <family val="2"/>
        <scheme val="minor"/>
      </rPr>
      <t>R</t>
    </r>
    <r>
      <rPr>
        <b/>
        <sz val="14"/>
        <color theme="0"/>
        <rFont val="Aptos Narrow"/>
        <family val="2"/>
      </rPr>
      <t>É</t>
    </r>
    <r>
      <rPr>
        <b/>
        <sz val="14"/>
        <color theme="0"/>
        <rFont val="Calibri"/>
        <family val="2"/>
        <scheme val="minor"/>
      </rPr>
      <t>SEAU, DES ACC</t>
    </r>
    <r>
      <rPr>
        <b/>
        <sz val="14"/>
        <color theme="0"/>
        <rFont val="Calibri"/>
        <family val="2"/>
      </rPr>
      <t>È</t>
    </r>
    <r>
      <rPr>
        <b/>
        <sz val="14"/>
        <color theme="0"/>
        <rFont val="Calibri"/>
        <family val="2"/>
        <scheme val="minor"/>
      </rPr>
      <t xml:space="preserve">S INTERNET ET SYSTÈMES DE RANGEMENT </t>
    </r>
    <r>
      <rPr>
        <b/>
        <sz val="14"/>
        <color theme="0"/>
        <rFont val="Calibri (Corps)"/>
      </rPr>
      <t>CIBLE</t>
    </r>
  </si>
  <si>
    <t>Vérification</t>
  </si>
  <si>
    <t>Nombre de salles de classe ordinaires total par niveau réparties par bâtiment</t>
  </si>
  <si>
    <t>Calcul de la bande passante internet requise</t>
  </si>
  <si>
    <t>TOT</t>
  </si>
  <si>
    <t>TOTARR</t>
  </si>
  <si>
    <t>Bâtiment 1</t>
  </si>
  <si>
    <t>Désignation :</t>
  </si>
  <si>
    <t>IN MIN</t>
  </si>
  <si>
    <t>Accès internet direct dans le bâtiment ?</t>
  </si>
  <si>
    <t>oui</t>
  </si>
  <si>
    <t>OUT MIN</t>
  </si>
  <si>
    <t xml:space="preserve">Si non, accès internet en commun avec : </t>
  </si>
  <si>
    <t>bât. 2</t>
  </si>
  <si>
    <t>IN REC</t>
  </si>
  <si>
    <t>MASQUER</t>
  </si>
  <si>
    <t>OUT REC</t>
  </si>
  <si>
    <t>Nombre de salles de classe ordinaires</t>
  </si>
  <si>
    <t>Nb salles de classe spéciales et de réserve</t>
  </si>
  <si>
    <t>Autres places, postes, appareils</t>
  </si>
  <si>
    <t>Réseau</t>
  </si>
  <si>
    <t>Systèmes de rangement du bâtiment (par étage)</t>
  </si>
  <si>
    <t>Nb équip. Élèves selon dotation</t>
  </si>
  <si>
    <t>Coûts systèmes de rangement</t>
  </si>
  <si>
    <t xml:space="preserve">Switches d'étage/bât. </t>
  </si>
  <si>
    <t>Connectés au réseau par câble</t>
  </si>
  <si>
    <t>Connectés au réseau par WiFi</t>
  </si>
  <si>
    <t>Nb pt. Accès Wi-Fi</t>
  </si>
  <si>
    <t>Nb. Connex. Réseau</t>
  </si>
  <si>
    <t>Nombre total de systèmes de rangement</t>
  </si>
  <si>
    <t>Existant /
à conserver</t>
  </si>
  <si>
    <t>Manquant / à renouveler</t>
  </si>
  <si>
    <t>Coût tot. renouvell.</t>
  </si>
  <si>
    <t>Coût tot. initial</t>
  </si>
  <si>
    <t>Connexions totales</t>
  </si>
  <si>
    <t>Switches étage 24p</t>
  </si>
  <si>
    <t>Solde connexion</t>
  </si>
  <si>
    <t>Nb. Équip. Élé. 1-8H</t>
  </si>
  <si>
    <t>Nb. Équip. Élé. 9-11H</t>
  </si>
  <si>
    <t>Nb. Équip. Enseign.</t>
  </si>
  <si>
    <t>Nb. Postes câblés</t>
  </si>
  <si>
    <t>Nb. Équip. Autres</t>
  </si>
  <si>
    <t>Débit stu 1-8H IN min</t>
  </si>
  <si>
    <t>Débit stu 1-8H IN rec</t>
  </si>
  <si>
    <t>Débit stu 1-8H OUT min</t>
  </si>
  <si>
    <t>Débit stu 1-8H OUT rec</t>
  </si>
  <si>
    <t>Débit stu 9-11H IN min</t>
  </si>
  <si>
    <t>Débit stu 9-11H IN rec</t>
  </si>
  <si>
    <t>Débit stu 9-11H OUT min</t>
  </si>
  <si>
    <t>Débit stu 9-11H OUT rec</t>
  </si>
  <si>
    <t>Débit IN enseign. Min</t>
  </si>
  <si>
    <t>Débit IN enseign. rec</t>
  </si>
  <si>
    <t>Débit OUT enseign. Min</t>
  </si>
  <si>
    <t>Débit OUT enseign. rec</t>
  </si>
  <si>
    <t>Débit salles info IN min</t>
  </si>
  <si>
    <t>Débit salles info IN rec</t>
  </si>
  <si>
    <t>Débit salles info OUT min</t>
  </si>
  <si>
    <t>Débit salles info OUT rec</t>
  </si>
  <si>
    <t>Débit IN autres min</t>
  </si>
  <si>
    <t>Débit IN autres rec</t>
  </si>
  <si>
    <t>Débit OUT autres min</t>
  </si>
  <si>
    <t>Débit OUT autres rec</t>
  </si>
  <si>
    <t>Débit IN réseau min</t>
  </si>
  <si>
    <t>Débit OUT réseau min</t>
  </si>
  <si>
    <t>Débit IN réseau rec</t>
  </si>
  <si>
    <t>Débit OUT du réseau rec</t>
  </si>
  <si>
    <t>Débit IN min. /équip.</t>
  </si>
  <si>
    <t>Débit IN rec. / équip.</t>
  </si>
  <si>
    <t>Étage 1</t>
  </si>
  <si>
    <t>Étage 2</t>
  </si>
  <si>
    <t>Étage 3</t>
  </si>
  <si>
    <t>Étage 4</t>
  </si>
  <si>
    <t>Étage 5</t>
  </si>
  <si>
    <t>Accès internet</t>
  </si>
  <si>
    <r>
      <rPr>
        <sz val="11"/>
        <color theme="1"/>
        <rFont val="Calibri"/>
        <family val="2"/>
        <scheme val="minor"/>
      </rPr>
      <t xml:space="preserve">Bande passante </t>
    </r>
    <r>
      <rPr>
        <u/>
        <sz val="11"/>
        <color theme="1"/>
        <rFont val="Calibri"/>
        <family val="2"/>
        <scheme val="minor"/>
      </rPr>
      <t>minimum</t>
    </r>
    <r>
      <rPr>
        <sz val="11"/>
        <color theme="1"/>
        <rFont val="Calibri"/>
        <family val="2"/>
        <scheme val="minor"/>
      </rPr>
      <t xml:space="preserve"> (Mbits/s)</t>
    </r>
  </si>
  <si>
    <t>Bâtim. Inclus :</t>
  </si>
  <si>
    <t>Nb. Switches 24 ports (estimation)</t>
  </si>
  <si>
    <r>
      <t xml:space="preserve">Bande passante </t>
    </r>
    <r>
      <rPr>
        <u/>
        <sz val="11"/>
        <color theme="1"/>
        <rFont val="Calibri"/>
        <family val="2"/>
        <scheme val="minor"/>
      </rPr>
      <t>recommandée</t>
    </r>
    <r>
      <rPr>
        <sz val="11"/>
        <color theme="1"/>
        <rFont val="Calibri"/>
        <family val="2"/>
        <scheme val="minor"/>
      </rPr>
      <t xml:space="preserve"> (Mbits/s)</t>
    </r>
  </si>
  <si>
    <t>Nb. Armoires réseau (estimation)</t>
  </si>
  <si>
    <t>Bâtiment 2</t>
  </si>
  <si>
    <t>non</t>
  </si>
  <si>
    <t>bât. 1</t>
  </si>
  <si>
    <t>Bâtiment 3</t>
  </si>
  <si>
    <t>du bât. 1</t>
  </si>
  <si>
    <t>Nb. Postes salles info</t>
  </si>
  <si>
    <r>
      <t xml:space="preserve">Bande passante </t>
    </r>
    <r>
      <rPr>
        <u/>
        <sz val="11"/>
        <color theme="1"/>
        <rFont val="Calibri"/>
        <family val="2"/>
        <scheme val="minor"/>
      </rPr>
      <t>minimum</t>
    </r>
    <r>
      <rPr>
        <sz val="11"/>
        <color theme="1"/>
        <rFont val="Calibri"/>
        <family val="2"/>
        <scheme val="minor"/>
      </rPr>
      <t xml:space="preserve"> (Mbits/s)</t>
    </r>
  </si>
  <si>
    <t>Bâtiment 4</t>
  </si>
  <si>
    <t>Bâtiment 5</t>
  </si>
  <si>
    <t>Nb salles classe</t>
  </si>
  <si>
    <t>Nb étages</t>
  </si>
  <si>
    <t>Bât. Source internet</t>
  </si>
  <si>
    <t>Nb bât</t>
  </si>
  <si>
    <t>Renouvell.</t>
  </si>
  <si>
    <t>Initial</t>
  </si>
  <si>
    <t>Connexions</t>
  </si>
  <si>
    <t>Swtiches</t>
  </si>
  <si>
    <t>Armoires réseau</t>
  </si>
  <si>
    <t>WiFi</t>
  </si>
  <si>
    <t>B1</t>
  </si>
  <si>
    <t>Coût total</t>
  </si>
  <si>
    <t>B2</t>
  </si>
  <si>
    <t>B3</t>
  </si>
  <si>
    <t>B4</t>
  </si>
  <si>
    <t>B5</t>
  </si>
  <si>
    <t>CALCULATEUR DES BESOINS NUMÉRIQUES
2. Estimation des coûts de l'infrastructure technique</t>
  </si>
  <si>
    <r>
      <rPr>
        <sz val="11"/>
        <color theme="0" tint="-0.499984740745262"/>
        <rFont val="Webdings"/>
        <family val="1"/>
        <charset val="2"/>
      </rPr>
      <t>i</t>
    </r>
    <r>
      <rPr>
        <sz val="11"/>
        <color theme="0" tint="-0.499984740745262"/>
        <rFont val="Calibri"/>
        <family val="2"/>
      </rPr>
      <t xml:space="preserve"> Le périmètre et détails de calculs sont présentés dans l'onglet </t>
    </r>
    <r>
      <rPr>
        <b/>
        <i/>
        <sz val="11"/>
        <color theme="0" tint="-0.499984740745262"/>
        <rFont val="Calibri"/>
        <family val="2"/>
      </rPr>
      <t>Description</t>
    </r>
  </si>
  <si>
    <t>Nombre de bâtiments</t>
  </si>
  <si>
    <t>Nombre d'accès internet</t>
  </si>
  <si>
    <t>Nombre  d'étages cumulés</t>
  </si>
  <si>
    <t>Nombre estimé de switchs</t>
  </si>
  <si>
    <t>Nombre de salles de classe ordinaires et spéciales</t>
  </si>
  <si>
    <t>Nombre estimé d'antennes Wi-Fi</t>
  </si>
  <si>
    <t>DÉSIGNATION DU MATERIEL / DE L'INFRASTRUCTURE</t>
  </si>
  <si>
    <t>Unités Total</t>
  </si>
  <si>
    <t>Existants 
à conserver</t>
  </si>
  <si>
    <t>Manquant 
à renouveler</t>
  </si>
  <si>
    <t>Coûts unitaires annuels</t>
  </si>
  <si>
    <t>Coûts unitaires uniques</t>
  </si>
  <si>
    <t>Coûts annuels</t>
  </si>
  <si>
    <t>Coûts uniques année 0</t>
  </si>
  <si>
    <t>Coûts uniques année 7</t>
  </si>
  <si>
    <t>CONNEXION / RÉSEAU</t>
  </si>
  <si>
    <t>Connexion Internet école (base des coûts SAI SBCON, annuel)</t>
  </si>
  <si>
    <t>-</t>
  </si>
  <si>
    <t>Sécurité et Filtrage en "cloud" (base SAI SBCON Managed Security, annuel)</t>
  </si>
  <si>
    <t>Firewall-routeur (y.c. installation)</t>
  </si>
  <si>
    <t>Switchs d'étage et de bâtiment (modèle unique à 24 ports)</t>
  </si>
  <si>
    <t xml:space="preserve">Armoires réseau (switch) </t>
  </si>
  <si>
    <t>Contrat de maintenance réseau (annuel)</t>
  </si>
  <si>
    <t>Points d'accès WiFi + coûts d'installation</t>
  </si>
  <si>
    <t>Controlleurs + licences pour gestion de antennes WiFi (annuel)</t>
  </si>
  <si>
    <t>Prises réseau et câblage cat. 6A (coût moyen indicatif)</t>
  </si>
  <si>
    <t>PÉRIPHÉRIQUES / MULTIMÉDIA (sans la maintenance)</t>
  </si>
  <si>
    <t>Système de projection et audio (incl. mise en service)</t>
  </si>
  <si>
    <t>Barre de son</t>
  </si>
  <si>
    <t xml:space="preserve">Caméra de document </t>
  </si>
  <si>
    <t>Système de partage d'écran</t>
  </si>
  <si>
    <t>Docking pour connexion équipements des enseignant-e-s</t>
  </si>
  <si>
    <t xml:space="preserve">Câbles et petit matériel </t>
  </si>
  <si>
    <t>Ecouteurs pour élèves</t>
  </si>
  <si>
    <t>Système de rangement (chariot) et de charge</t>
  </si>
  <si>
    <t>var.</t>
  </si>
  <si>
    <t>RÉCAPITULATION DES COÛTS ESTIMATIFS</t>
  </si>
  <si>
    <t>Totaux</t>
  </si>
  <si>
    <t>Par élève*</t>
  </si>
  <si>
    <t>* Le terme «élève» désigne les élèves physiques de l'enseignement obligatoire</t>
  </si>
  <si>
    <t>Equipements / Infrastructure - Coûts uniques initiaux (année 0)</t>
  </si>
  <si>
    <t>Equipements / Infrastructure - Coûts uniques de renouvellement (tous les 7 ans)</t>
  </si>
  <si>
    <t>Equipements / Infrastructure - Coûts annuels</t>
  </si>
  <si>
    <t>à payer par année</t>
  </si>
  <si>
    <t>Année 0</t>
  </si>
  <si>
    <t>Année 1</t>
  </si>
  <si>
    <t>Année 2</t>
  </si>
  <si>
    <t>Année 3</t>
  </si>
  <si>
    <t>Année 4</t>
  </si>
  <si>
    <t>Année 5</t>
  </si>
  <si>
    <t>Année 6</t>
  </si>
  <si>
    <t>Année 7</t>
  </si>
  <si>
    <t>maintenance
+ initial</t>
  </si>
  <si>
    <t>maintenance</t>
  </si>
  <si>
    <t>maintenance + renouvell.</t>
  </si>
  <si>
    <t>Coûts uiques</t>
  </si>
  <si>
    <t>Coûts totaux par année</t>
  </si>
  <si>
    <t>Chiffres au 11.8.2021 (révision 22.08.2024)</t>
  </si>
  <si>
    <t>Annuels</t>
  </si>
  <si>
    <t>Unique</t>
  </si>
  <si>
    <t>Remarques (anciennes)</t>
  </si>
  <si>
    <t>Remarques TP 2024</t>
  </si>
  <si>
    <t>Connexion Internet école</t>
  </si>
  <si>
    <t xml:space="preserve">SBC swisscom mise en service (500.-/1000.-) </t>
  </si>
  <si>
    <t>Offre Swisscom SAI : coût mensuel 0 CHF
+ coût mensuel d'interconnexion (BNS) si plusieurs bâtiment sur connexion distinctes
+ frais d'installation par partenaire Swisscom</t>
  </si>
  <si>
    <t>Filtrage et sécurité (30 CHF/mois)</t>
  </si>
  <si>
    <t>SBC swisscom sécurité (30.-/mois) (calcul sur la base du module "managed security" de SAI)</t>
  </si>
  <si>
    <t>SAI : normal 30 Frs pour site principal
+ installation par partenaire Swisscom</t>
  </si>
  <si>
    <t>Firewall/routeur interne</t>
  </si>
  <si>
    <t>Acheter Appliance SonicWall TZ370 (02-SSC-2825) (bechtle.com)</t>
  </si>
  <si>
    <t>Switch d'étage (12 ports) y.c. install et config (renouv. tous les 7 ans)</t>
  </si>
  <si>
    <t>1 port/antenne + 1 port/monitoring</t>
  </si>
  <si>
    <t>HPE Aruba 6100 12p POE L2 SFP+  750 CHF</t>
  </si>
  <si>
    <t>Switch d'étage (24 ports) (renouvellement tous les 7 ans)</t>
  </si>
  <si>
    <t>HPE Aruba 6100 24p POE L2 SFP+  1500 CHF</t>
  </si>
  <si>
    <t>Switch d'étage (48 ports) (renouvellement tous les 7 ans)</t>
  </si>
  <si>
    <t>HPE Aruba 6100 48p POE L2 SFP+  3000 CHF</t>
  </si>
  <si>
    <t>Coût d'installation switch</t>
  </si>
  <si>
    <t>GPT : 200-700€ pour install + 300-800€ pour config; choix : 4h à 150 Frs</t>
  </si>
  <si>
    <t>Armoires par switch (pose inclus)</t>
  </si>
  <si>
    <t>Distrelec : 220 pour 6U</t>
  </si>
  <si>
    <t>Contrat de maintenance réseau</t>
  </si>
  <si>
    <t>évaluation par étage cumulé</t>
  </si>
  <si>
    <t>GPT : 10-20% du coût des switch</t>
  </si>
  <si>
    <t>Antenne  WiFi</t>
  </si>
  <si>
    <t>1 antenne WiFi/salle de classe, prix moyen SITel</t>
  </si>
  <si>
    <t>Selon GPT coût achat entre 300 et 700€ et installation entre 100 et 300€</t>
  </si>
  <si>
    <t>Controlleurs WiFi+licences pour gestion de antennes</t>
  </si>
  <si>
    <t>(cantonalisation : 100k pour un système centralisé)</t>
  </si>
  <si>
    <t>GPT: entre 100 et 300€ par an par AP, Bard : entre 50 et 200€</t>
  </si>
  <si>
    <t>1 Câble cat. 6A (tirage)</t>
  </si>
  <si>
    <t>à réévaluer; C3 : pas besoin parce que chargement personnel ?</t>
  </si>
  <si>
    <r>
      <t xml:space="preserve">Electricité </t>
    </r>
    <r>
      <rPr>
        <sz val="11"/>
        <color theme="1"/>
        <rFont val="Calibri"/>
        <family val="2"/>
        <scheme val="minor"/>
      </rPr>
      <t>(sans la consommation ni maintenance)</t>
    </r>
  </si>
  <si>
    <t>Investissement unique prises électriques</t>
  </si>
  <si>
    <t>2 prises</t>
  </si>
  <si>
    <t>Fusibles (cablage)</t>
  </si>
  <si>
    <t>2500W/fusible</t>
  </si>
  <si>
    <t>Tirage de câble (prix/m dans tuyaux existants)</t>
  </si>
  <si>
    <r>
      <t xml:space="preserve">Multimédia </t>
    </r>
    <r>
      <rPr>
        <sz val="11"/>
        <color theme="1"/>
        <rFont val="Calibri"/>
        <family val="2"/>
        <scheme val="minor"/>
      </rPr>
      <t>(sans la maintenance)</t>
    </r>
  </si>
  <si>
    <t>Système de projection (incl. Mise en service)</t>
  </si>
  <si>
    <t>Coût moyen entre écrans et beamer (AOP S2 : 2860.- + 380.- montage compris)</t>
  </si>
  <si>
    <t>Système audio (barre son active) --&gt; Bluetooth</t>
  </si>
  <si>
    <t>Sound Bar Neets SB1, Barre de son Crestron SAROS SB-200-P active 2x, 20W - 400.- selon contrat-cadre S2</t>
  </si>
  <si>
    <t>Caméra de document</t>
  </si>
  <si>
    <t>Prix ELMO L-12W</t>
  </si>
  <si>
    <t>AirPlay + Miracast</t>
  </si>
  <si>
    <t>EZCast PB10</t>
  </si>
  <si>
    <t>Docking USB de table</t>
  </si>
  <si>
    <t>Votre résultat de recherche pour « docking  » (bechtle.com)</t>
  </si>
  <si>
    <t>Câbles et petit matériel, docking</t>
  </si>
  <si>
    <t>Caméra et micro pour enseignement à distance</t>
  </si>
  <si>
    <t>Prix du Owl</t>
  </si>
  <si>
    <t>Ecouteurs pour élèves Jack 3.5mm</t>
  </si>
  <si>
    <t>Acheter Micro-casque PC bureau Hama HS-P100 (00139900) (bechtle.com)</t>
  </si>
  <si>
    <t>Ecouteurs pour élèves USB-C</t>
  </si>
  <si>
    <t>Acheter Casque Kensington USB C HiFi (K97457WW) (bechtle.com)</t>
  </si>
  <si>
    <t>Système d'impression</t>
  </si>
  <si>
    <t>Offre A</t>
  </si>
  <si>
    <t>Offre B</t>
  </si>
  <si>
    <t>Moyenne</t>
  </si>
  <si>
    <t>Imprimante/Photocopieuse/Scanneuse + OCR</t>
  </si>
  <si>
    <t>Une imprimante par étage, … (selon estimation Appel d'offres des CO de Marly)</t>
  </si>
  <si>
    <t>Personnel, lien avec les entreprises prestataires + support niveau 0 (support de proximité)</t>
  </si>
  <si>
    <t>Correspondant informatique infrastructures (UNIQUEMENT)</t>
  </si>
  <si>
    <t>2.38 EPT = 1 h/mois par bâtiment, 80.-*12 (exclu la mise en place)</t>
  </si>
  <si>
    <t>Nb moy/max élèves par classe (réf. dossier rentrée 23-24)</t>
  </si>
  <si>
    <t>CO déterm. élèves par classe prenant compte de répartition par type</t>
  </si>
  <si>
    <t>EB</t>
  </si>
  <si>
    <t>G</t>
  </si>
  <si>
    <t>PG</t>
  </si>
  <si>
    <t>Elève par type (powerbi)</t>
  </si>
  <si>
    <t>Répart selon type</t>
  </si>
  <si>
    <t>Moy. cantonale élèves par classe considérant répart. par type (réf dossier rentrée 23-24)</t>
  </si>
  <si>
    <t>Max. élèves par classe selon type</t>
  </si>
  <si>
    <t>Année de programme</t>
  </si>
  <si>
    <t>NB de classes</t>
  </si>
  <si>
    <t>NB élèves physiques</t>
  </si>
  <si>
    <t>élève_par_classe</t>
  </si>
  <si>
    <t>Répart. Utilisation simultanée des app par profil d'utilisateur</t>
  </si>
  <si>
    <t>Profil élève 
1-8H</t>
  </si>
  <si>
    <t>Profil élève 
9-11H</t>
  </si>
  <si>
    <t>Profil élève 
Salle info</t>
  </si>
  <si>
    <t>Profil enseign. en classe</t>
  </si>
  <si>
    <t>Autres utilisateurs</t>
  </si>
  <si>
    <t>Vidéo Youtube 4K</t>
  </si>
  <si>
    <t>Vidéo Youtube FHD</t>
  </si>
  <si>
    <t>Office</t>
  </si>
  <si>
    <t>Teams</t>
  </si>
  <si>
    <t>Systèmes de rangement</t>
  </si>
  <si>
    <t>Prix</t>
  </si>
  <si>
    <t>exemple</t>
  </si>
  <si>
    <t>Chariot charg. 14 laptop</t>
  </si>
  <si>
    <t>Charging Trolley for 14 Laptops (CH) | DICOTA</t>
  </si>
  <si>
    <t>Chariot charg. 16 laptop</t>
  </si>
  <si>
    <t>Charging Trolley for 20 Tablets or Ultrabooks (CH) | DICOTA</t>
  </si>
  <si>
    <t>Armoire charg. 16 laptop/ipad</t>
  </si>
  <si>
    <t>Acheter Compulocks CartiPad SOLO 16 appareils (SOLO-EU)</t>
  </si>
  <si>
    <t>Chariot pour notebook - acheter sur digitec</t>
  </si>
  <si>
    <t>Malette charg. 14 tablettes</t>
  </si>
  <si>
    <t>Acheter Chariot charge DICOTA 14 tablettes Plus (D31898-V1) (bechtle.com)</t>
  </si>
  <si>
    <t>Autre</t>
  </si>
  <si>
    <t>Utilisations bande passante par application [Mbits/s]</t>
  </si>
  <si>
    <t>IN Min.</t>
  </si>
  <si>
    <t>IN Recom.</t>
  </si>
  <si>
    <t>OUT min</t>
  </si>
  <si>
    <t>OUT rec</t>
  </si>
  <si>
    <t>Débit calculé par profil d'utilisateur</t>
  </si>
  <si>
    <t>OUT recom.</t>
  </si>
  <si>
    <t>Elèves 1-8H</t>
  </si>
  <si>
    <t>Elèves 9-11H</t>
  </si>
  <si>
    <t>Elèves salle info</t>
  </si>
  <si>
    <t>Enseignants</t>
  </si>
  <si>
    <t>Autres</t>
  </si>
  <si>
    <t>Raccordement internet</t>
  </si>
  <si>
    <t>bât. 3</t>
  </si>
  <si>
    <t>bât. 4</t>
  </si>
  <si>
    <t>bât. 5</t>
  </si>
  <si>
    <t>QUESTIONS</t>
  </si>
  <si>
    <t>Périphériques multimédia : pertinence de maintenir ici ? (cohérence avec le concept général)</t>
  </si>
  <si>
    <t xml:space="preserve">Re: </t>
  </si>
  <si>
    <t>oui =&gt; m-à-j recommandations Fritic</t>
  </si>
  <si>
    <t>Supprimer systèmes d'impressions ?</t>
  </si>
  <si>
    <t>Re:</t>
  </si>
  <si>
    <t>Ecouteurs à dispo pour les élèves (en classe / en salle d'info)</t>
  </si>
  <si>
    <t>Valider profils utilisateurs</t>
  </si>
  <si>
    <t>TODO</t>
  </si>
  <si>
    <t>Macro : imprime en PDF, ouvre un mail avec notre adresse et le PDF en pce jointe</t>
  </si>
  <si>
    <t>Systèmes de rangement : revoir calcul coût selon modèles choisis</t>
  </si>
  <si>
    <t>Systèmes de rangement : finaliser liste et prix</t>
  </si>
  <si>
    <t>Salles ACM : Investiguer pertinence (raison historique ?)</t>
  </si>
  <si>
    <t>Fusionner système de projection et système audio</t>
  </si>
  <si>
    <t>MÉMO</t>
  </si>
  <si>
    <t>Emplacement de recharge par classe</t>
  </si>
  <si>
    <r>
      <t xml:space="preserve">Le calculateur se concentre sur les équipements strictement nécessaires au bon fonctionnement des équipements numériques. 
Ainsi il </t>
    </r>
    <r>
      <rPr>
        <b/>
        <sz val="10"/>
        <rFont val="Calibri"/>
        <family val="2"/>
        <scheme val="minor"/>
      </rPr>
      <t>n'inclut pas</t>
    </r>
    <r>
      <rPr>
        <sz val="10"/>
        <rFont val="Calibri"/>
        <family val="2"/>
        <scheme val="minor"/>
      </rPr>
      <t xml:space="preserve"> :
  • Le coût des </t>
    </r>
    <r>
      <rPr>
        <b/>
        <sz val="10"/>
        <rFont val="Calibri"/>
        <family val="2"/>
        <scheme val="minor"/>
      </rPr>
      <t>ordinateurs et tablettes</t>
    </r>
    <r>
      <rPr>
        <sz val="10"/>
        <rFont val="Calibri"/>
        <family val="2"/>
        <scheme val="minor"/>
      </rPr>
      <t xml:space="preserve">  
  • Les </t>
    </r>
    <r>
      <rPr>
        <b/>
        <sz val="10"/>
        <rFont val="Calibri"/>
        <family val="2"/>
        <scheme val="minor"/>
      </rPr>
      <t xml:space="preserve">systèmes d'impression et de photocopie
</t>
    </r>
    <r>
      <rPr>
        <sz val="10"/>
        <rFont val="Calibri"/>
        <family val="2"/>
        <scheme val="minor"/>
      </rPr>
      <t xml:space="preserve">  • La </t>
    </r>
    <r>
      <rPr>
        <b/>
        <sz val="10"/>
        <rFont val="Calibri"/>
        <family val="2"/>
        <scheme val="minor"/>
      </rPr>
      <t>téléphonie</t>
    </r>
    <r>
      <rPr>
        <sz val="10"/>
        <rFont val="Calibri"/>
        <family val="2"/>
        <scheme val="minor"/>
      </rPr>
      <t xml:space="preserve">
  • Les coûts relatifs à l'</t>
    </r>
    <r>
      <rPr>
        <b/>
        <sz val="10"/>
        <rFont val="Calibri"/>
        <family val="2"/>
        <scheme val="minor"/>
      </rPr>
      <t>installation électrique</t>
    </r>
    <r>
      <rPr>
        <sz val="10"/>
        <rFont val="Calibri"/>
        <family val="2"/>
        <scheme val="minor"/>
      </rPr>
      <t xml:space="preserve"> : une trop grande variabilité de structures ne permet pas de proposer une estimation fiable. Si des adaptations doivent être effectuées, elles devront être évaluées par un professionnel.
  • Les coûts à prévoir pour le </t>
    </r>
    <r>
      <rPr>
        <b/>
        <sz val="10"/>
        <rFont val="Calibri"/>
        <family val="2"/>
        <scheme val="minor"/>
      </rPr>
      <t>support informatique</t>
    </r>
    <r>
      <rPr>
        <sz val="10"/>
        <rFont val="Calibri"/>
        <family val="2"/>
        <scheme val="minor"/>
      </rPr>
      <t xml:space="preserve"> (prestations de tiers, répondant informatique, hors contrat de maintenance réseau) ne figurent pas dans ce calculateur. Les besoins diffèrent selon le contexte propre aux établissements et varient en fonction des évolutions technologiques. </t>
    </r>
  </si>
  <si>
    <t>Nb. Équip. Élèves selon dotations minimales</t>
  </si>
  <si>
    <t>Dotations de l'école</t>
  </si>
  <si>
    <t>Dotations en équipements numériques par degré scolaire</t>
  </si>
  <si>
    <r>
      <t xml:space="preserve">Dotations </t>
    </r>
    <r>
      <rPr>
        <u/>
        <sz val="11"/>
        <rFont val="Calibri"/>
        <family val="2"/>
        <scheme val="minor"/>
      </rPr>
      <t xml:space="preserve">minimales </t>
    </r>
    <r>
      <rPr>
        <sz val="11"/>
        <rFont val="Calibri"/>
        <family val="2"/>
        <scheme val="minor"/>
      </rPr>
      <t>recommandées</t>
    </r>
  </si>
  <si>
    <r>
      <t xml:space="preserve">Dotations </t>
    </r>
    <r>
      <rPr>
        <u/>
        <sz val="11"/>
        <rFont val="Calibri"/>
        <family val="2"/>
        <scheme val="minor"/>
      </rPr>
      <t xml:space="preserve">maximales </t>
    </r>
    <r>
      <rPr>
        <sz val="11"/>
        <rFont val="Calibri"/>
        <family val="2"/>
        <scheme val="minor"/>
      </rPr>
      <t>recommandées</t>
    </r>
  </si>
  <si>
    <r>
      <t xml:space="preserve">Pour compléter le formulaire </t>
    </r>
    <r>
      <rPr>
        <i/>
        <sz val="10"/>
        <color theme="1"/>
        <rFont val="Calibri"/>
        <family val="2"/>
        <scheme val="minor"/>
      </rPr>
      <t>1. Données logistiques et organisationnelles</t>
    </r>
    <r>
      <rPr>
        <sz val="10"/>
        <color theme="1"/>
        <rFont val="Calibri"/>
        <family val="2"/>
        <scheme val="minor"/>
      </rPr>
      <t xml:space="preserve">, cliquer sur le bouton "Vers </t>
    </r>
    <r>
      <rPr>
        <i/>
        <sz val="10"/>
        <color theme="1"/>
        <rFont val="Calibri"/>
        <family val="2"/>
        <scheme val="minor"/>
      </rPr>
      <t>1. Données logistiques et organisationnelles</t>
    </r>
    <r>
      <rPr>
        <sz val="10"/>
        <color theme="1"/>
        <rFont val="Calibri"/>
        <family val="2"/>
        <scheme val="minor"/>
      </rPr>
      <t xml:space="preserve">" en haut, à droite.
Ce formulaire permet de </t>
    </r>
    <r>
      <rPr>
        <b/>
        <sz val="10"/>
        <color theme="1"/>
        <rFont val="Calibri"/>
        <family val="2"/>
        <scheme val="minor"/>
      </rPr>
      <t>recenser les besoins en équipements informatiques au sens large</t>
    </r>
    <r>
      <rPr>
        <sz val="10"/>
        <color theme="1"/>
        <rFont val="Calibri"/>
        <family val="2"/>
        <scheme val="minor"/>
      </rPr>
      <t xml:space="preserve">, en fonction de la structure et de l'organisation de l'établissement, que l'école soit déjà équipée ou non : 
</t>
    </r>
    <r>
      <rPr>
        <sz val="10"/>
        <color rgb="FF1FB7C6"/>
        <rFont val="Calibri"/>
        <family val="2"/>
        <scheme val="minor"/>
      </rPr>
      <t>•</t>
    </r>
    <r>
      <rPr>
        <sz val="10"/>
        <color theme="1"/>
        <rFont val="Calibri"/>
        <family val="2"/>
        <scheme val="minor"/>
      </rPr>
      <t xml:space="preserve"> Le nombre d'ordinateurs / tablettes, selon</t>
    </r>
    <r>
      <rPr>
        <sz val="10"/>
        <rFont val="Calibri"/>
        <family val="2"/>
        <scheme val="minor"/>
      </rPr>
      <t xml:space="preserve"> les dotations recommandées - adaptées</t>
    </r>
    <r>
      <rPr>
        <sz val="10"/>
        <color theme="1"/>
        <rFont val="Calibri"/>
        <family val="2"/>
        <scheme val="minor"/>
      </rPr>
      <t xml:space="preserve"> aux besoins de l'école
</t>
    </r>
    <r>
      <rPr>
        <sz val="10"/>
        <color rgb="FF1FB7C6"/>
        <rFont val="Calibri"/>
        <family val="2"/>
        <scheme val="minor"/>
      </rPr>
      <t>•</t>
    </r>
    <r>
      <rPr>
        <sz val="10"/>
        <color theme="1"/>
        <rFont val="Calibri"/>
        <family val="2"/>
        <scheme val="minor"/>
      </rPr>
      <t xml:space="preserve"> Le nombre de switchs (ou commutateurs réseau) e</t>
    </r>
    <r>
      <rPr>
        <sz val="10"/>
        <rFont val="Calibri"/>
        <family val="2"/>
        <scheme val="minor"/>
      </rPr>
      <t>t de point d'accès WiFi pour connecter au</t>
    </r>
    <r>
      <rPr>
        <sz val="10"/>
        <color theme="1"/>
        <rFont val="Calibri"/>
        <family val="2"/>
        <scheme val="minor"/>
      </rPr>
      <t xml:space="preserve"> réseau les équipements et les périphériques
</t>
    </r>
    <r>
      <rPr>
        <sz val="10"/>
        <color rgb="FF1FB7C6"/>
        <rFont val="Calibri"/>
        <family val="2"/>
        <scheme val="minor"/>
      </rPr>
      <t>•</t>
    </r>
    <r>
      <rPr>
        <sz val="10"/>
        <color theme="1"/>
        <rFont val="Calibri"/>
        <family val="2"/>
        <scheme val="minor"/>
      </rPr>
      <t xml:space="preserve"> La bande passante internet nécessaire au fonctionnement de tous les équipements de l'école / du bâtiment
</t>
    </r>
    <r>
      <rPr>
        <sz val="10"/>
        <color rgb="FF1FB7C6"/>
        <rFont val="Calibri"/>
        <family val="2"/>
        <scheme val="minor"/>
      </rPr>
      <t>•</t>
    </r>
    <r>
      <rPr>
        <sz val="10"/>
        <color theme="1"/>
        <rFont val="Calibri"/>
        <family val="2"/>
        <scheme val="minor"/>
      </rPr>
      <t xml:space="preserve"> Les systèmes de rangement des ordinateurs / tablettes nécessaires</t>
    </r>
  </si>
  <si>
    <r>
      <t xml:space="preserve">Ce </t>
    </r>
    <r>
      <rPr>
        <b/>
        <sz val="10"/>
        <rFont val="Calibri"/>
        <family val="2"/>
        <scheme val="minor"/>
      </rPr>
      <t>calculateur de besoins numériques</t>
    </r>
    <r>
      <rPr>
        <sz val="10"/>
        <rFont val="Calibri"/>
        <family val="2"/>
        <scheme val="minor"/>
      </rPr>
      <t xml:space="preserve"> a 2 objectifs :
</t>
    </r>
    <r>
      <rPr>
        <b/>
        <sz val="10"/>
        <rFont val="Calibri"/>
        <family val="2"/>
        <scheme val="minor"/>
      </rPr>
      <t>1-</t>
    </r>
    <r>
      <rPr>
        <sz val="10"/>
        <rFont val="Calibri"/>
        <family val="2"/>
        <scheme val="minor"/>
      </rPr>
      <t xml:space="preserve"> Aider les écoles à </t>
    </r>
    <r>
      <rPr>
        <b/>
        <sz val="10"/>
        <rFont val="Calibri"/>
        <family val="2"/>
        <scheme val="minor"/>
      </rPr>
      <t>estimer leurs besoins en équipements numériques</t>
    </r>
    <r>
      <rPr>
        <sz val="10"/>
        <rFont val="Calibri"/>
        <family val="2"/>
        <scheme val="minor"/>
      </rPr>
      <t xml:space="preserve"> pour répondre au mieux aux objectifs pédagogiques, en prenant en compte les dotations recommandées ;
</t>
    </r>
    <r>
      <rPr>
        <b/>
        <sz val="10"/>
        <rFont val="Calibri"/>
        <family val="2"/>
        <scheme val="minor"/>
      </rPr>
      <t>2-</t>
    </r>
    <r>
      <rPr>
        <sz val="10"/>
        <rFont val="Calibri"/>
        <family val="2"/>
        <scheme val="minor"/>
      </rPr>
      <t xml:space="preserve"> Aider les communes à </t>
    </r>
    <r>
      <rPr>
        <b/>
        <sz val="10"/>
        <rFont val="Calibri"/>
        <family val="2"/>
        <scheme val="minor"/>
      </rPr>
      <t>estimer les coûts d'investissement et de maintenance de l'infrastructure informatique</t>
    </r>
    <r>
      <rPr>
        <sz val="10"/>
        <rFont val="Calibri"/>
        <family val="2"/>
        <scheme val="minor"/>
      </rPr>
      <t xml:space="preserve"> nécessaires dans les bâtiments scolaires pour répondre aux standards fixés par le canton de Fribourg. 
</t>
    </r>
    <r>
      <rPr>
        <sz val="10"/>
        <rFont val="Webdings"/>
        <family val="1"/>
        <charset val="2"/>
      </rPr>
      <t>i</t>
    </r>
    <r>
      <rPr>
        <sz val="10"/>
        <rFont val="Calibri"/>
        <family val="2"/>
      </rPr>
      <t xml:space="preserve"> </t>
    </r>
    <r>
      <rPr>
        <sz val="10"/>
        <rFont val="Calibri"/>
        <family val="2"/>
        <scheme val="minor"/>
      </rPr>
      <t xml:space="preserve">Les totaux des coûts annuels et uniques donnent une information estimative et sans garantie à la commune.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</si>
</sst>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quot;CHF&quot;_-;\-* #,##0.00\ &quot;CHF&quot;_-;_-* &quot;-&quot;??\ &quot;CHF&quot;_-;_-@_-"/>
    <numFmt numFmtId="165" formatCode="_-* #,##0.00_-;\-* #,##0.00_-;_-* &quot;-&quot;??_-;_-@_-"/>
    <numFmt numFmtId="166" formatCode="_-* #,##0_-;\-* #,##0_-;_-* &quot;-&quot;??_-;_-@_-"/>
    <numFmt numFmtId="167" formatCode="##0&quot; bâtiment(s)&quot;"/>
    <numFmt numFmtId="168" formatCode="0.0"/>
    <numFmt numFmtId="169" formatCode="0.000"/>
    <numFmt numFmtId="170" formatCode="_ &quot;CHF&quot;\ * #,##0_ ;_ &quot;CHF&quot;\ * \-#,##0_ ;_ &quot;CHF&quot;\ * &quot;-&quot;??_ ;_ @_ "/>
  </numFmts>
  <fonts count="66" x14ac:knownFonts="1">
    <font>
      <sz val="11"/>
      <color theme="1"/>
      <name val="Calibri"/>
      <family val="2"/>
      <scheme val="minor"/>
    </font>
    <font>
      <sz val="11"/>
      <color theme="1"/>
      <name val="Calibri"/>
      <family val="2"/>
      <scheme val="minor"/>
    </font>
    <font>
      <b/>
      <sz val="15"/>
      <color theme="3"/>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u/>
      <sz val="11"/>
      <color theme="10"/>
      <name val="Calibri"/>
      <family val="2"/>
      <scheme val="minor"/>
    </font>
    <font>
      <sz val="11"/>
      <color theme="0"/>
      <name val="Calibri"/>
      <family val="2"/>
      <scheme val="minor"/>
    </font>
    <font>
      <sz val="15"/>
      <color theme="0"/>
      <name val="Calibri (Corps)"/>
    </font>
    <font>
      <sz val="14"/>
      <color theme="0"/>
      <name val="Calibri"/>
      <family val="2"/>
      <scheme val="minor"/>
    </font>
    <font>
      <sz val="11"/>
      <color theme="0"/>
      <name val="Calibri (Corps)"/>
    </font>
    <font>
      <b/>
      <sz val="11"/>
      <color theme="0"/>
      <name val="Calibri"/>
      <family val="2"/>
      <scheme val="minor"/>
    </font>
    <font>
      <sz val="11"/>
      <name val="Calibri"/>
      <family val="2"/>
      <scheme val="minor"/>
    </font>
    <font>
      <sz val="10"/>
      <color rgb="FF000000"/>
      <name val="Tahoma"/>
      <family val="2"/>
    </font>
    <font>
      <sz val="11"/>
      <color theme="0"/>
      <name val="Calibri"/>
      <family val="2"/>
    </font>
    <font>
      <sz val="11"/>
      <color rgb="FFFFFFFF"/>
      <name val="Calibri"/>
      <family val="2"/>
    </font>
    <font>
      <sz val="8"/>
      <name val="Calibri"/>
      <family val="2"/>
      <scheme val="minor"/>
    </font>
    <font>
      <b/>
      <sz val="10"/>
      <color rgb="FF000000"/>
      <name val="Tahoma"/>
      <family val="2"/>
    </font>
    <font>
      <b/>
      <sz val="14"/>
      <color theme="1"/>
      <name val="Calibri"/>
      <family val="2"/>
      <scheme val="minor"/>
    </font>
    <font>
      <b/>
      <i/>
      <sz val="11"/>
      <color theme="0"/>
      <name val="Calibri"/>
      <family val="2"/>
      <scheme val="minor"/>
    </font>
    <font>
      <sz val="11"/>
      <color rgb="FF0070C0"/>
      <name val="Calibri"/>
      <family val="2"/>
      <scheme val="minor"/>
    </font>
    <font>
      <i/>
      <sz val="11"/>
      <color rgb="FF0070C0"/>
      <name val="Calibri"/>
      <family val="2"/>
      <scheme val="minor"/>
    </font>
    <font>
      <sz val="10"/>
      <color theme="1"/>
      <name val="Calibri"/>
      <family val="2"/>
      <scheme val="minor"/>
    </font>
    <font>
      <u/>
      <sz val="11"/>
      <color theme="1"/>
      <name val="Calibri"/>
      <family val="2"/>
      <scheme val="minor"/>
    </font>
    <font>
      <i/>
      <sz val="10"/>
      <color theme="1"/>
      <name val="Calibri"/>
      <family val="2"/>
      <scheme val="minor"/>
    </font>
    <font>
      <sz val="11"/>
      <color theme="3" tint="0.79998168889431442"/>
      <name val="Calibri"/>
      <family val="2"/>
      <scheme val="minor"/>
    </font>
    <font>
      <b/>
      <sz val="10"/>
      <color theme="1"/>
      <name val="Calibri"/>
      <family val="2"/>
      <scheme val="minor"/>
    </font>
    <font>
      <sz val="10"/>
      <color rgb="FF1FB7C6"/>
      <name val="Calibri"/>
      <family val="2"/>
      <scheme val="minor"/>
    </font>
    <font>
      <sz val="10"/>
      <color rgb="FF0070C0"/>
      <name val="Calibri"/>
      <family val="2"/>
      <scheme val="minor"/>
    </font>
    <font>
      <b/>
      <sz val="10"/>
      <color rgb="FF0B898F"/>
      <name val="Calibri"/>
      <family val="2"/>
      <scheme val="minor"/>
    </font>
    <font>
      <sz val="10"/>
      <name val="Calibri"/>
      <family val="2"/>
      <scheme val="minor"/>
    </font>
    <font>
      <sz val="10"/>
      <color rgb="FF1FB7C6"/>
      <name val="Calibri (Corps)"/>
    </font>
    <font>
      <sz val="10"/>
      <color theme="1" tint="0.34998626667073579"/>
      <name val="Calibri"/>
      <family val="2"/>
      <scheme val="minor"/>
    </font>
    <font>
      <b/>
      <sz val="10"/>
      <name val="Calibri"/>
      <family val="2"/>
      <scheme val="minor"/>
    </font>
    <font>
      <sz val="10"/>
      <name val="Webdings"/>
      <family val="1"/>
      <charset val="2"/>
    </font>
    <font>
      <sz val="10"/>
      <name val="Calibri"/>
      <family val="2"/>
    </font>
    <font>
      <sz val="11"/>
      <color theme="0" tint="-0.499984740745262"/>
      <name val="Calibri"/>
      <family val="1"/>
      <charset val="2"/>
    </font>
    <font>
      <sz val="11"/>
      <color theme="0" tint="-0.499984740745262"/>
      <name val="Webdings"/>
      <family val="1"/>
      <charset val="2"/>
    </font>
    <font>
      <sz val="11"/>
      <color theme="0" tint="-0.499984740745262"/>
      <name val="Calibri"/>
      <family val="2"/>
    </font>
    <font>
      <b/>
      <i/>
      <sz val="11"/>
      <color theme="0" tint="-0.499984740745262"/>
      <name val="Calibri"/>
      <family val="2"/>
    </font>
    <font>
      <sz val="11"/>
      <color theme="0" tint="-0.499984740745262"/>
      <name val="Calibri"/>
      <family val="2"/>
      <scheme val="minor"/>
    </font>
    <font>
      <sz val="14"/>
      <name val="Calibri"/>
      <family val="2"/>
      <scheme val="minor"/>
    </font>
    <font>
      <b/>
      <sz val="14"/>
      <color theme="0"/>
      <name val="Calibri (Corps)"/>
    </font>
    <font>
      <b/>
      <sz val="14"/>
      <color theme="0"/>
      <name val="Calibri"/>
      <family val="2"/>
      <scheme val="minor"/>
    </font>
    <font>
      <b/>
      <sz val="14"/>
      <color theme="0"/>
      <name val="Aptos Narrow"/>
      <family val="2"/>
    </font>
    <font>
      <b/>
      <sz val="14"/>
      <color theme="0"/>
      <name val="Calibri"/>
      <family val="2"/>
    </font>
    <font>
      <sz val="11"/>
      <color theme="1" tint="0.499984740745262"/>
      <name val="Calibri"/>
      <family val="2"/>
      <scheme val="minor"/>
    </font>
    <font>
      <sz val="10"/>
      <color rgb="FF000000"/>
      <name val="Calibri"/>
      <family val="2"/>
    </font>
    <font>
      <strike/>
      <sz val="11"/>
      <color theme="1"/>
      <name val="Calibri"/>
      <family val="2"/>
      <scheme val="minor"/>
    </font>
    <font>
      <u/>
      <sz val="10"/>
      <name val="Calibri"/>
      <family val="2"/>
      <scheme val="minor"/>
    </font>
    <font>
      <sz val="12"/>
      <name val="Calibri"/>
      <family val="2"/>
    </font>
    <font>
      <sz val="12"/>
      <color theme="0"/>
      <name val="Calibri"/>
      <family val="2"/>
      <scheme val="minor"/>
    </font>
    <font>
      <sz val="15"/>
      <name val="Calibri (Corps)"/>
    </font>
    <font>
      <b/>
      <sz val="11"/>
      <color theme="2"/>
      <name val="Calibri"/>
      <family val="2"/>
      <scheme val="minor"/>
    </font>
    <font>
      <b/>
      <sz val="11"/>
      <name val="Calibri"/>
      <family val="2"/>
      <scheme val="minor"/>
    </font>
    <font>
      <sz val="14"/>
      <name val="Calibri (Corps)"/>
    </font>
    <font>
      <sz val="11"/>
      <color theme="5" tint="-0.249977111117893"/>
      <name val="Calibri"/>
      <family val="2"/>
      <scheme val="minor"/>
    </font>
    <font>
      <b/>
      <sz val="11"/>
      <color rgb="FFFF0000"/>
      <name val="Calibri"/>
      <family val="2"/>
      <scheme val="minor"/>
    </font>
    <font>
      <sz val="11"/>
      <color theme="2"/>
      <name val="Calibri"/>
      <family val="2"/>
      <scheme val="minor"/>
    </font>
    <font>
      <i/>
      <sz val="10"/>
      <name val="Calibri"/>
      <family val="2"/>
      <scheme val="minor"/>
    </font>
    <font>
      <u/>
      <sz val="10"/>
      <color theme="1"/>
      <name val="Calibri"/>
      <family val="2"/>
      <scheme val="minor"/>
    </font>
    <font>
      <b/>
      <u/>
      <sz val="10"/>
      <color rgb="FF0B898F"/>
      <name val="Calibri"/>
      <family val="2"/>
      <scheme val="minor"/>
    </font>
    <font>
      <b/>
      <i/>
      <sz val="14"/>
      <color theme="0"/>
      <name val="Calibri"/>
      <family val="2"/>
      <scheme val="minor"/>
    </font>
    <font>
      <sz val="15"/>
      <color theme="0"/>
      <name val="Calibri"/>
      <family val="2"/>
      <scheme val="minor"/>
    </font>
    <font>
      <b/>
      <sz val="12"/>
      <name val="Calibri"/>
      <family val="2"/>
      <scheme val="minor"/>
    </font>
    <font>
      <u/>
      <sz val="11"/>
      <name val="Calibri"/>
      <family val="2"/>
      <scheme val="minor"/>
    </font>
  </fonts>
  <fills count="18">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2"/>
        <bgColor indexed="64"/>
      </patternFill>
    </fill>
    <fill>
      <patternFill patternType="solid">
        <fgColor theme="8"/>
      </patternFill>
    </fill>
    <fill>
      <patternFill patternType="solid">
        <fgColor theme="8" tint="0.39997558519241921"/>
        <bgColor indexed="65"/>
      </patternFill>
    </fill>
    <fill>
      <patternFill patternType="solid">
        <fgColor rgb="FF363A42"/>
        <bgColor indexed="64"/>
      </patternFill>
    </fill>
    <fill>
      <patternFill patternType="solid">
        <fgColor rgb="FF1FB7C6"/>
        <bgColor indexed="64"/>
      </patternFill>
    </fill>
    <fill>
      <patternFill patternType="solid">
        <fgColor rgb="FFE7E6E6"/>
        <bgColor indexed="64"/>
      </patternFill>
    </fill>
    <fill>
      <patternFill patternType="solid">
        <fgColor rgb="FFE7FAFC"/>
        <bgColor indexed="64"/>
      </patternFill>
    </fill>
    <fill>
      <patternFill patternType="solid">
        <fgColor rgb="FFE1E3E6"/>
        <bgColor indexed="64"/>
      </patternFill>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s>
  <borders count="178">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right/>
      <top/>
      <bottom style="thin">
        <color rgb="FF363A42"/>
      </bottom>
      <diagonal/>
    </border>
    <border>
      <left style="thin">
        <color rgb="FF363A42"/>
      </left>
      <right style="thin">
        <color rgb="FF363A42"/>
      </right>
      <top style="thin">
        <color rgb="FF363A42"/>
      </top>
      <bottom/>
      <diagonal/>
    </border>
    <border>
      <left style="thin">
        <color rgb="FF363A42"/>
      </left>
      <right style="thin">
        <color rgb="FF363A42"/>
      </right>
      <top/>
      <bottom style="thin">
        <color rgb="FF363A42"/>
      </bottom>
      <diagonal/>
    </border>
    <border>
      <left/>
      <right style="thin">
        <color rgb="FFFFFF00"/>
      </right>
      <top/>
      <bottom/>
      <diagonal/>
    </border>
    <border>
      <left style="thin">
        <color rgb="FF363A42"/>
      </left>
      <right style="thin">
        <color rgb="FF363A42"/>
      </right>
      <top/>
      <bottom/>
      <diagonal/>
    </border>
    <border>
      <left/>
      <right style="thin">
        <color rgb="FF363A42"/>
      </right>
      <top/>
      <bottom/>
      <diagonal/>
    </border>
    <border>
      <left style="thin">
        <color rgb="FF363A42"/>
      </left>
      <right/>
      <top/>
      <bottom style="thin">
        <color rgb="FF363A42"/>
      </bottom>
      <diagonal/>
    </border>
    <border>
      <left/>
      <right style="thin">
        <color rgb="FF363A42"/>
      </right>
      <top/>
      <bottom style="thin">
        <color rgb="FF363A42"/>
      </bottom>
      <diagonal/>
    </border>
    <border>
      <left style="thin">
        <color rgb="FF363A42"/>
      </left>
      <right/>
      <top style="thin">
        <color rgb="FF363A42"/>
      </top>
      <bottom style="thin">
        <color indexed="64"/>
      </bottom>
      <diagonal/>
    </border>
    <border>
      <left/>
      <right/>
      <top style="thin">
        <color rgb="FF363A42"/>
      </top>
      <bottom style="thin">
        <color indexed="64"/>
      </bottom>
      <diagonal/>
    </border>
    <border>
      <left/>
      <right style="thin">
        <color rgb="FF363A42"/>
      </right>
      <top style="thin">
        <color rgb="FF363A42"/>
      </top>
      <bottom style="thin">
        <color indexed="64"/>
      </bottom>
      <diagonal/>
    </border>
    <border>
      <left style="thin">
        <color rgb="FF363A42"/>
      </left>
      <right/>
      <top style="thin">
        <color rgb="FF363A42"/>
      </top>
      <bottom/>
      <diagonal/>
    </border>
    <border>
      <left/>
      <right/>
      <top style="thin">
        <color rgb="FF363A42"/>
      </top>
      <bottom/>
      <diagonal/>
    </border>
    <border>
      <left/>
      <right style="thin">
        <color rgb="FF363A42"/>
      </right>
      <top style="thin">
        <color rgb="FF363A42"/>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theme="0" tint="-0.24994659260841701"/>
      </right>
      <top style="thin">
        <color theme="0" tint="-0.24994659260841701"/>
      </top>
      <bottom style="thin">
        <color theme="0" tint="-0.24994659260841701"/>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theme="2" tint="-9.9948118533890809E-2"/>
      </right>
      <top style="thin">
        <color theme="0" tint="-0.24994659260841701"/>
      </top>
      <bottom style="thin">
        <color theme="0" tint="-0.24994659260841701"/>
      </bottom>
      <diagonal/>
    </border>
    <border>
      <left style="thin">
        <color theme="2" tint="-9.9948118533890809E-2"/>
      </left>
      <right style="thin">
        <color theme="2" tint="-9.9948118533890809E-2"/>
      </right>
      <top style="thin">
        <color theme="0" tint="-0.24994659260841701"/>
      </top>
      <bottom style="thin">
        <color theme="0" tint="-0.24994659260841701"/>
      </bottom>
      <diagonal/>
    </border>
    <border>
      <left style="thin">
        <color indexed="64"/>
      </left>
      <right style="thin">
        <color theme="2" tint="-9.9948118533890809E-2"/>
      </right>
      <top style="thin">
        <color theme="0" tint="-0.24994659260841701"/>
      </top>
      <bottom style="thin">
        <color indexed="64"/>
      </bottom>
      <diagonal/>
    </border>
    <border>
      <left style="thin">
        <color theme="2" tint="-9.9948118533890809E-2"/>
      </left>
      <right style="thin">
        <color theme="2" tint="-9.9948118533890809E-2"/>
      </right>
      <top style="thin">
        <color theme="0" tint="-0.24994659260841701"/>
      </top>
      <bottom style="thin">
        <color indexed="64"/>
      </bottom>
      <diagonal/>
    </border>
    <border>
      <left style="thin">
        <color rgb="FF363A42"/>
      </left>
      <right style="thin">
        <color rgb="FF363A42"/>
      </right>
      <top style="thin">
        <color theme="2" tint="-9.9948118533890809E-2"/>
      </top>
      <bottom style="thin">
        <color theme="2" tint="-9.9948118533890809E-2"/>
      </bottom>
      <diagonal/>
    </border>
    <border>
      <left style="thin">
        <color rgb="FF363A42"/>
      </left>
      <right style="thin">
        <color rgb="FF363A42"/>
      </right>
      <top style="thin">
        <color theme="2" tint="-9.9948118533890809E-2"/>
      </top>
      <bottom style="thin">
        <color indexed="64"/>
      </bottom>
      <diagonal/>
    </border>
    <border>
      <left/>
      <right style="thin">
        <color indexed="64"/>
      </right>
      <top/>
      <bottom/>
      <diagonal/>
    </border>
    <border>
      <left style="thin">
        <color theme="2" tint="-9.9948118533890809E-2"/>
      </left>
      <right/>
      <top style="thin">
        <color theme="0" tint="-0.24994659260841701"/>
      </top>
      <bottom style="thin">
        <color theme="0" tint="-0.24994659260841701"/>
      </bottom>
      <diagonal/>
    </border>
    <border>
      <left style="thin">
        <color theme="2" tint="-9.9948118533890809E-2"/>
      </left>
      <right/>
      <top style="thin">
        <color theme="0" tint="-0.24994659260841701"/>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theme="2" tint="-9.9948118533890809E-2"/>
      </right>
      <top style="thin">
        <color indexed="64"/>
      </top>
      <bottom style="thin">
        <color theme="2" tint="-9.9948118533890809E-2"/>
      </bottom>
      <diagonal/>
    </border>
    <border>
      <left style="thin">
        <color theme="2" tint="-9.9948118533890809E-2"/>
      </left>
      <right style="thin">
        <color theme="2" tint="-9.9948118533890809E-2"/>
      </right>
      <top style="thin">
        <color indexed="64"/>
      </top>
      <bottom style="thin">
        <color theme="2" tint="-9.9948118533890809E-2"/>
      </bottom>
      <diagonal/>
    </border>
    <border>
      <left style="thin">
        <color theme="2" tint="-9.9948118533890809E-2"/>
      </left>
      <right style="thin">
        <color indexed="64"/>
      </right>
      <top style="thin">
        <color indexed="64"/>
      </top>
      <bottom style="thin">
        <color theme="2" tint="-9.9948118533890809E-2"/>
      </bottom>
      <diagonal/>
    </border>
    <border>
      <left style="thin">
        <color indexed="64"/>
      </left>
      <right style="thin">
        <color theme="2" tint="-9.9948118533890809E-2"/>
      </right>
      <top style="thin">
        <color theme="2" tint="-9.9948118533890809E-2"/>
      </top>
      <bottom style="thin">
        <color indexed="64"/>
      </bottom>
      <diagonal/>
    </border>
    <border>
      <left style="thin">
        <color theme="2" tint="-9.9948118533890809E-2"/>
      </left>
      <right style="thin">
        <color theme="2" tint="-9.9948118533890809E-2"/>
      </right>
      <top style="thin">
        <color theme="2" tint="-9.9948118533890809E-2"/>
      </top>
      <bottom style="thin">
        <color indexed="64"/>
      </bottom>
      <diagonal/>
    </border>
    <border>
      <left style="thin">
        <color theme="2" tint="-9.9948118533890809E-2"/>
      </left>
      <right style="thin">
        <color indexed="64"/>
      </right>
      <top style="thin">
        <color theme="2" tint="-9.9948118533890809E-2"/>
      </top>
      <bottom style="thin">
        <color indexed="64"/>
      </bottom>
      <diagonal/>
    </border>
    <border>
      <left style="thin">
        <color indexed="64"/>
      </left>
      <right style="thin">
        <color indexed="64"/>
      </right>
      <top style="thin">
        <color indexed="64"/>
      </top>
      <bottom style="thin">
        <color theme="2" tint="-9.9948118533890809E-2"/>
      </bottom>
      <diagonal/>
    </border>
    <border>
      <left style="thin">
        <color indexed="64"/>
      </left>
      <right style="thin">
        <color indexed="64"/>
      </right>
      <top style="thin">
        <color theme="2" tint="-9.9948118533890809E-2"/>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theme="2" tint="-9.9948118533890809E-2"/>
      </bottom>
      <diagonal/>
    </border>
    <border>
      <left/>
      <right style="thin">
        <color indexed="64"/>
      </right>
      <top style="thin">
        <color indexed="64"/>
      </top>
      <bottom style="thin">
        <color theme="2" tint="-9.9948118533890809E-2"/>
      </bottom>
      <diagonal/>
    </border>
    <border>
      <left style="thin">
        <color indexed="64"/>
      </left>
      <right/>
      <top style="thin">
        <color theme="2" tint="-9.9948118533890809E-2"/>
      </top>
      <bottom style="thin">
        <color theme="2" tint="-9.9948118533890809E-2"/>
      </bottom>
      <diagonal/>
    </border>
    <border>
      <left/>
      <right style="thin">
        <color indexed="64"/>
      </right>
      <top style="thin">
        <color theme="2" tint="-9.9948118533890809E-2"/>
      </top>
      <bottom style="thin">
        <color theme="2" tint="-9.9948118533890809E-2"/>
      </bottom>
      <diagonal/>
    </border>
    <border>
      <left style="thin">
        <color indexed="64"/>
      </left>
      <right/>
      <top style="thin">
        <color theme="2" tint="-9.9948118533890809E-2"/>
      </top>
      <bottom style="thin">
        <color indexed="64"/>
      </bottom>
      <diagonal/>
    </border>
    <border>
      <left/>
      <right style="thin">
        <color indexed="64"/>
      </right>
      <top style="thin">
        <color theme="2" tint="-9.9948118533890809E-2"/>
      </top>
      <bottom style="thin">
        <color indexed="64"/>
      </bottom>
      <diagonal/>
    </border>
    <border>
      <left style="thin">
        <color indexed="64"/>
      </left>
      <right style="thin">
        <color indexed="64"/>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right/>
      <top style="thin">
        <color theme="1"/>
      </top>
      <bottom style="thin">
        <color theme="2" tint="-9.9948118533890809E-2"/>
      </bottom>
      <diagonal/>
    </border>
    <border>
      <left/>
      <right style="thin">
        <color theme="1"/>
      </right>
      <top style="thin">
        <color theme="1"/>
      </top>
      <bottom style="thin">
        <color theme="2" tint="-9.9948118533890809E-2"/>
      </bottom>
      <diagonal/>
    </border>
    <border>
      <left style="thin">
        <color theme="2" tint="-9.9948118533890809E-2"/>
      </left>
      <right style="thin">
        <color theme="1"/>
      </right>
      <top style="thin">
        <color theme="2" tint="-9.9948118533890809E-2"/>
      </top>
      <bottom style="thin">
        <color theme="2" tint="-9.9948118533890809E-2"/>
      </bottom>
      <diagonal/>
    </border>
    <border>
      <left style="thin">
        <color theme="2" tint="-9.9948118533890809E-2"/>
      </left>
      <right style="thin">
        <color theme="1"/>
      </right>
      <top style="thin">
        <color theme="2" tint="-9.9948118533890809E-2"/>
      </top>
      <bottom style="thin">
        <color indexed="64"/>
      </bottom>
      <diagonal/>
    </border>
    <border>
      <left style="thin">
        <color indexed="64"/>
      </left>
      <right style="thin">
        <color theme="2" tint="-9.9948118533890809E-2"/>
      </right>
      <top style="thin">
        <color indexed="64"/>
      </top>
      <bottom style="medium">
        <color indexed="64"/>
      </bottom>
      <diagonal/>
    </border>
    <border>
      <left style="thin">
        <color theme="2" tint="-9.9948118533890809E-2"/>
      </left>
      <right style="thin">
        <color theme="2" tint="-9.9948118533890809E-2"/>
      </right>
      <top style="thin">
        <color indexed="64"/>
      </top>
      <bottom style="medium">
        <color indexed="64"/>
      </bottom>
      <diagonal/>
    </border>
    <border>
      <left style="thin">
        <color theme="2" tint="-9.9948118533890809E-2"/>
      </left>
      <right style="thin">
        <color indexed="64"/>
      </right>
      <top style="thin">
        <color indexed="64"/>
      </top>
      <bottom style="medium">
        <color indexed="64"/>
      </bottom>
      <diagonal/>
    </border>
    <border>
      <left/>
      <right style="thin">
        <color theme="2" tint="-9.9948118533890809E-2"/>
      </right>
      <top style="thin">
        <color theme="2" tint="-9.9948118533890809E-2"/>
      </top>
      <bottom style="thin">
        <color theme="2" tint="-9.9948118533890809E-2"/>
      </bottom>
      <diagonal/>
    </border>
    <border>
      <left/>
      <right style="thin">
        <color theme="2" tint="-9.9948118533890809E-2"/>
      </right>
      <top style="thin">
        <color theme="2" tint="-9.9948118533890809E-2"/>
      </top>
      <bottom style="thin">
        <color indexed="64"/>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style="thin">
        <color indexed="64"/>
      </bottom>
      <diagonal/>
    </border>
    <border>
      <left style="medium">
        <color indexed="64"/>
      </left>
      <right style="thin">
        <color theme="2" tint="-9.9948118533890809E-2"/>
      </right>
      <top style="medium">
        <color indexed="64"/>
      </top>
      <bottom style="medium">
        <color indexed="64"/>
      </bottom>
      <diagonal/>
    </border>
    <border>
      <left style="thin">
        <color theme="2" tint="-9.9948118533890809E-2"/>
      </left>
      <right style="medium">
        <color indexed="64"/>
      </right>
      <top style="medium">
        <color indexed="64"/>
      </top>
      <bottom style="medium">
        <color indexed="64"/>
      </bottom>
      <diagonal/>
    </border>
    <border>
      <left style="thin">
        <color theme="2" tint="-9.9948118533890809E-2"/>
      </left>
      <right/>
      <top style="thin">
        <color theme="2" tint="-9.9948118533890809E-2"/>
      </top>
      <bottom style="thin">
        <color theme="2" tint="-9.9948118533890809E-2"/>
      </bottom>
      <diagonal/>
    </border>
    <border>
      <left style="thin">
        <color theme="2" tint="-9.9948118533890809E-2"/>
      </left>
      <right/>
      <top style="thin">
        <color theme="2" tint="-9.9948118533890809E-2"/>
      </top>
      <bottom style="thin">
        <color indexed="64"/>
      </bottom>
      <diagonal/>
    </border>
    <border>
      <left style="thin">
        <color theme="2" tint="-9.9948118533890809E-2"/>
      </left>
      <right/>
      <top style="thin">
        <color indexed="64"/>
      </top>
      <bottom style="medium">
        <color indexed="64"/>
      </bottom>
      <diagonal/>
    </border>
    <border>
      <left style="thin">
        <color rgb="FF363A42"/>
      </left>
      <right style="thin">
        <color rgb="FF363A42"/>
      </right>
      <top style="thin">
        <color indexed="64"/>
      </top>
      <bottom style="thin">
        <color theme="2" tint="-9.9948118533890809E-2"/>
      </bottom>
      <diagonal/>
    </border>
    <border>
      <left/>
      <right style="thin">
        <color indexed="64"/>
      </right>
      <top style="thin">
        <color rgb="FF363A42"/>
      </top>
      <bottom style="thin">
        <color indexed="64"/>
      </bottom>
      <diagonal/>
    </border>
    <border>
      <left style="thin">
        <color indexed="64"/>
      </left>
      <right style="thin">
        <color indexed="64"/>
      </right>
      <top/>
      <bottom/>
      <diagonal/>
    </border>
    <border>
      <left style="thin">
        <color theme="0" tint="-0.34998626667073579"/>
      </left>
      <right/>
      <top style="thin">
        <color indexed="64"/>
      </top>
      <bottom/>
      <diagonal/>
    </border>
    <border>
      <left/>
      <right style="thin">
        <color theme="0" tint="-0.34998626667073579"/>
      </right>
      <top style="thin">
        <color indexed="64"/>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indexed="64"/>
      </left>
      <right style="thin">
        <color indexed="64"/>
      </right>
      <top style="thin">
        <color indexed="64"/>
      </top>
      <bottom style="thin">
        <color theme="0" tint="-0.14996795556505021"/>
      </bottom>
      <diagonal/>
    </border>
    <border>
      <left style="thin">
        <color indexed="64"/>
      </left>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thin">
        <color indexed="64"/>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thin">
        <color indexed="64"/>
      </right>
      <top style="thin">
        <color indexed="64"/>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thin">
        <color indexed="64"/>
      </right>
      <top style="thin">
        <color theme="0" tint="-0.14996795556505021"/>
      </top>
      <bottom style="thin">
        <color indexed="64"/>
      </bottom>
      <diagonal/>
    </border>
    <border>
      <left/>
      <right/>
      <top style="thin">
        <color indexed="64"/>
      </top>
      <bottom style="thin">
        <color theme="2" tint="-9.9948118533890809E-2"/>
      </bottom>
      <diagonal/>
    </border>
    <border>
      <left/>
      <right/>
      <top style="thin">
        <color theme="2" tint="-9.9948118533890809E-2"/>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indexed="64"/>
      </bottom>
      <diagonal/>
    </border>
    <border>
      <left style="thin">
        <color indexed="64"/>
      </left>
      <right style="thin">
        <color indexed="64"/>
      </right>
      <top style="thin">
        <color theme="0" tint="-0.14996795556505021"/>
      </top>
      <bottom/>
      <diagonal/>
    </border>
    <border>
      <left style="thin">
        <color indexed="64"/>
      </left>
      <right style="thin">
        <color indexed="64"/>
      </right>
      <top/>
      <bottom style="thin">
        <color theme="0" tint="-0.14996795556505021"/>
      </bottom>
      <diagonal/>
    </border>
    <border>
      <left style="thin">
        <color indexed="64"/>
      </left>
      <right style="thin">
        <color theme="0" tint="-0.14996795556505021"/>
      </right>
      <top style="thin">
        <color theme="0" tint="-0.14996795556505021"/>
      </top>
      <bottom/>
      <diagonal/>
    </border>
    <border>
      <left style="thin">
        <color indexed="64"/>
      </left>
      <right style="thin">
        <color theme="0" tint="-0.14996795556505021"/>
      </right>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indexed="64"/>
      </right>
      <top style="thin">
        <color theme="0" tint="-0.14996795556505021"/>
      </top>
      <bottom/>
      <diagonal/>
    </border>
    <border>
      <left style="thin">
        <color theme="0" tint="-0.14996795556505021"/>
      </left>
      <right style="thin">
        <color indexed="64"/>
      </right>
      <top/>
      <bottom style="thin">
        <color theme="0" tint="-0.14996795556505021"/>
      </bottom>
      <diagonal/>
    </border>
    <border>
      <left style="thin">
        <color indexed="64"/>
      </left>
      <right style="thin">
        <color theme="0" tint="-0.24994659260841701"/>
      </right>
      <top style="thin">
        <color indexed="64"/>
      </top>
      <bottom style="thin">
        <color theme="0"/>
      </bottom>
      <diagonal/>
    </border>
    <border>
      <left style="thin">
        <color rgb="FF363A42"/>
      </left>
      <right/>
      <top style="thin">
        <color indexed="64"/>
      </top>
      <bottom style="thin">
        <color theme="0"/>
      </bottom>
      <diagonal/>
    </border>
    <border>
      <left style="thin">
        <color rgb="FF363A42"/>
      </left>
      <right/>
      <top/>
      <bottom/>
      <diagonal/>
    </border>
    <border>
      <left style="thin">
        <color rgb="FF363A42"/>
      </left>
      <right/>
      <top/>
      <bottom style="thin">
        <color indexed="64"/>
      </bottom>
      <diagonal/>
    </border>
    <border>
      <left/>
      <right style="thin">
        <color rgb="FF363A42"/>
      </right>
      <top/>
      <bottom style="thin">
        <color indexed="64"/>
      </bottom>
      <diagonal/>
    </border>
    <border>
      <left style="thin">
        <color indexed="64"/>
      </left>
      <right style="thin">
        <color rgb="FF363A42"/>
      </right>
      <top/>
      <bottom style="thin">
        <color rgb="FF363A42"/>
      </bottom>
      <diagonal/>
    </border>
    <border>
      <left style="thin">
        <color rgb="FF363A42"/>
      </left>
      <right style="thin">
        <color theme="2" tint="-9.9948118533890809E-2"/>
      </right>
      <top/>
      <bottom style="thin">
        <color theme="2" tint="-9.9948118533890809E-2"/>
      </bottom>
      <diagonal/>
    </border>
    <border>
      <left style="thin">
        <color rgb="FF363A42"/>
      </left>
      <right style="thin">
        <color theme="2" tint="-9.9948118533890809E-2"/>
      </right>
      <top style="thin">
        <color theme="2" tint="-9.9948118533890809E-2"/>
      </top>
      <bottom style="thin">
        <color theme="2" tint="-9.9948118533890809E-2"/>
      </bottom>
      <diagonal/>
    </border>
    <border>
      <left style="thin">
        <color rgb="FF363A42"/>
      </left>
      <right style="thin">
        <color theme="2" tint="-9.9948118533890809E-2"/>
      </right>
      <top style="thin">
        <color theme="2" tint="-9.9948118533890809E-2"/>
      </top>
      <bottom style="thin">
        <color indexed="64"/>
      </bottom>
      <diagonal/>
    </border>
    <border>
      <left style="thin">
        <color indexed="64"/>
      </left>
      <right style="thin">
        <color theme="0" tint="-0.34998626667073579"/>
      </right>
      <top style="thin">
        <color rgb="FF363A42"/>
      </top>
      <bottom style="thin">
        <color theme="0" tint="-0.34998626667073579"/>
      </bottom>
      <diagonal/>
    </border>
    <border>
      <left style="thin">
        <color theme="0" tint="-0.34998626667073579"/>
      </left>
      <right style="thin">
        <color theme="0" tint="-0.34998626667073579"/>
      </right>
      <top style="thin">
        <color rgb="FF363A42"/>
      </top>
      <bottom style="thin">
        <color theme="0" tint="-0.34998626667073579"/>
      </bottom>
      <diagonal/>
    </border>
    <border>
      <left style="thin">
        <color theme="0" tint="-0.34998626667073579"/>
      </left>
      <right style="thin">
        <color rgb="FF363A42"/>
      </right>
      <top style="thin">
        <color rgb="FF363A42"/>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rgb="FF363A42"/>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rgb="FF363A42"/>
      </bottom>
      <diagonal/>
    </border>
    <border>
      <left style="thin">
        <color theme="0" tint="-0.34998626667073579"/>
      </left>
      <right style="thin">
        <color theme="0" tint="-0.34998626667073579"/>
      </right>
      <top style="thin">
        <color theme="0" tint="-0.34998626667073579"/>
      </top>
      <bottom style="thin">
        <color rgb="FF363A42"/>
      </bottom>
      <diagonal/>
    </border>
    <border>
      <left style="thin">
        <color theme="0" tint="-0.34998626667073579"/>
      </left>
      <right style="thin">
        <color rgb="FF363A42"/>
      </right>
      <top style="thin">
        <color theme="0" tint="-0.34998626667073579"/>
      </top>
      <bottom style="thin">
        <color rgb="FF363A42"/>
      </bottom>
      <diagonal/>
    </border>
    <border>
      <left/>
      <right/>
      <top style="thin">
        <color indexed="64"/>
      </top>
      <bottom style="double">
        <color indexed="64"/>
      </bottom>
      <diagonal/>
    </border>
    <border>
      <left style="thin">
        <color theme="0" tint="-0.24994659260841701"/>
      </left>
      <right style="thin">
        <color indexed="64"/>
      </right>
      <top style="thin">
        <color indexed="64"/>
      </top>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theme="0" tint="-0.24994659260841701"/>
      </left>
      <right style="thin">
        <color indexed="64"/>
      </right>
      <top/>
      <bottom style="thin">
        <color theme="0" tint="-0.24994659260841701"/>
      </bottom>
      <diagonal/>
    </border>
    <border>
      <left style="thin">
        <color rgb="FF363A42"/>
      </left>
      <right/>
      <top style="thin">
        <color theme="2" tint="-9.9948118533890809E-2"/>
      </top>
      <bottom style="thin">
        <color indexed="64"/>
      </bottom>
      <diagonal/>
    </border>
    <border>
      <left style="thin">
        <color rgb="FF363A42"/>
      </left>
      <right style="thin">
        <color indexed="64"/>
      </right>
      <top style="thin">
        <color indexed="64"/>
      </top>
      <bottom style="thin">
        <color theme="0" tint="-0.24994659260841701"/>
      </bottom>
      <diagonal/>
    </border>
    <border>
      <left style="thin">
        <color rgb="FF363A42"/>
      </left>
      <right style="thin">
        <color indexed="64"/>
      </right>
      <top style="thin">
        <color theme="0" tint="-0.24994659260841701"/>
      </top>
      <bottom style="thin">
        <color theme="0" tint="-0.24994659260841701"/>
      </bottom>
      <diagonal/>
    </border>
    <border>
      <left style="thin">
        <color rgb="FF363A42"/>
      </left>
      <right style="thin">
        <color indexed="64"/>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top style="thin">
        <color theme="0" tint="-0.24994659260841701"/>
      </top>
      <bottom style="thin">
        <color indexed="64"/>
      </bottom>
      <diagonal/>
    </border>
    <border>
      <left/>
      <right style="thin">
        <color indexed="64"/>
      </right>
      <top style="thin">
        <color theme="0" tint="-0.24994659260841701"/>
      </top>
      <bottom style="thin">
        <color indexed="64"/>
      </bottom>
      <diagonal/>
    </border>
    <border>
      <left style="thin">
        <color rgb="FF363A42"/>
      </left>
      <right style="thin">
        <color rgb="FF363A42"/>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rgb="FF363A42"/>
      </left>
      <right style="thin">
        <color rgb="FF363A42"/>
      </right>
      <top style="thin">
        <color theme="0" tint="-0.24994659260841701"/>
      </top>
      <bottom style="thin">
        <color theme="0" tint="-0.24994659260841701"/>
      </bottom>
      <diagonal/>
    </border>
    <border>
      <left style="thin">
        <color rgb="FF363A42"/>
      </left>
      <right style="thin">
        <color theme="2" tint="-9.9948118533890809E-2"/>
      </right>
      <top style="thin">
        <color theme="0" tint="-0.24994659260841701"/>
      </top>
      <bottom style="thin">
        <color theme="0" tint="-0.24994659260841701"/>
      </bottom>
      <diagonal/>
    </border>
    <border>
      <left style="thin">
        <color rgb="FF363A42"/>
      </left>
      <right style="thin">
        <color rgb="FF363A42"/>
      </right>
      <top style="thin">
        <color theme="0" tint="-0.24994659260841701"/>
      </top>
      <bottom/>
      <diagonal/>
    </border>
    <border>
      <left style="thin">
        <color theme="0" tint="-0.24994659260841701"/>
      </left>
      <right style="thin">
        <color indexed="64"/>
      </right>
      <top style="thin">
        <color theme="0" tint="-0.24994659260841701"/>
      </top>
      <bottom style="thin">
        <color indexed="64"/>
      </bottom>
      <diagonal/>
    </border>
    <border>
      <left style="thin">
        <color rgb="FF363A42"/>
      </left>
      <right style="thin">
        <color theme="2" tint="-9.9948118533890809E-2"/>
      </right>
      <top style="thin">
        <color theme="0" tint="-0.24994659260841701"/>
      </top>
      <bottom style="thin">
        <color indexed="64"/>
      </bottom>
      <diagonal/>
    </border>
    <border>
      <left/>
      <right style="thin">
        <color theme="2" tint="-9.9948118533890809E-2"/>
      </right>
      <top style="thin">
        <color theme="0" tint="-0.24994659260841701"/>
      </top>
      <bottom style="thin">
        <color theme="0" tint="-0.24994659260841701"/>
      </bottom>
      <diagonal/>
    </border>
    <border>
      <left/>
      <right style="thin">
        <color theme="2" tint="-9.9948118533890809E-2"/>
      </right>
      <top style="thin">
        <color theme="0" tint="-0.24994659260841701"/>
      </top>
      <bottom style="thin">
        <color indexed="64"/>
      </bottom>
      <diagonal/>
    </border>
    <border>
      <left style="thin">
        <color theme="0" tint="-0.24994659260841701"/>
      </left>
      <right style="thin">
        <color theme="1"/>
      </right>
      <top style="thin">
        <color theme="0" tint="-0.24994659260841701"/>
      </top>
      <bottom style="thin">
        <color theme="0" tint="-0.24994659260841701"/>
      </bottom>
      <diagonal/>
    </border>
    <border>
      <left style="thin">
        <color theme="0" tint="-0.24994659260841701"/>
      </left>
      <right style="thin">
        <color theme="1"/>
      </right>
      <top style="thin">
        <color theme="0" tint="-0.24994659260841701"/>
      </top>
      <bottom style="thin">
        <color indexed="64"/>
      </bottom>
      <diagonal/>
    </border>
    <border>
      <left style="thin">
        <color theme="0" tint="-0.24994659260841701"/>
      </left>
      <right style="thin">
        <color theme="1"/>
      </right>
      <top/>
      <bottom style="thin">
        <color theme="0" tint="-0.24994659260841701"/>
      </bottom>
      <diagonal/>
    </border>
    <border>
      <left/>
      <right style="thin">
        <color theme="2" tint="-9.9948118533890809E-2"/>
      </right>
      <top/>
      <bottom style="thin">
        <color theme="0" tint="-0.24994659260841701"/>
      </bottom>
      <diagonal/>
    </border>
    <border>
      <left style="thin">
        <color rgb="FF363A42"/>
      </left>
      <right style="thin">
        <color theme="2" tint="-9.9948118533890809E-2"/>
      </right>
      <top/>
      <bottom style="thin">
        <color theme="0" tint="-0.24994659260841701"/>
      </bottom>
      <diagonal/>
    </border>
    <border>
      <left style="thin">
        <color rgb="FF363A42"/>
      </left>
      <right style="thin">
        <color indexed="64"/>
      </right>
      <top/>
      <bottom style="thin">
        <color theme="0" tint="-0.24994659260841701"/>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style="thin">
        <color theme="0" tint="-0.24994659260841701"/>
      </left>
      <right style="thin">
        <color theme="1"/>
      </right>
      <top style="thin">
        <color indexed="64"/>
      </top>
      <bottom style="thin">
        <color indexed="64"/>
      </bottom>
      <diagonal/>
    </border>
    <border>
      <left/>
      <right style="thin">
        <color theme="0" tint="-0.24994659260841701"/>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rgb="FF363A42"/>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rgb="FF363A42"/>
      </left>
      <right style="thin">
        <color theme="1"/>
      </right>
      <top style="thin">
        <color theme="0" tint="-0.24994659260841701"/>
      </top>
      <bottom style="thin">
        <color theme="0" tint="-0.24994659260841701"/>
      </bottom>
      <diagonal/>
    </border>
    <border>
      <left style="thin">
        <color theme="1"/>
      </left>
      <right style="thin">
        <color theme="1"/>
      </right>
      <top style="thin">
        <color theme="0" tint="-0.24994659260841701"/>
      </top>
      <bottom style="thin">
        <color theme="0" tint="-0.24994659260841701"/>
      </bottom>
      <diagonal/>
    </border>
    <border>
      <left style="thin">
        <color theme="1"/>
      </left>
      <right style="thin">
        <color indexed="64"/>
      </right>
      <top style="thin">
        <color theme="0" tint="-0.24994659260841701"/>
      </top>
      <bottom style="thin">
        <color theme="0" tint="-0.24994659260841701"/>
      </bottom>
      <diagonal/>
    </border>
    <border>
      <left style="thin">
        <color theme="2" tint="-9.9948118533890809E-2"/>
      </left>
      <right style="thin">
        <color indexed="64"/>
      </right>
      <top/>
      <bottom style="thin">
        <color theme="2" tint="-9.9948118533890809E-2"/>
      </bottom>
      <diagonal/>
    </border>
    <border>
      <left style="thin">
        <color theme="2" tint="-9.9948118533890809E-2"/>
      </left>
      <right style="thin">
        <color indexed="64"/>
      </right>
      <top style="thin">
        <color theme="2" tint="-9.9948118533890809E-2"/>
      </top>
      <bottom style="thin">
        <color theme="2" tint="-9.9948118533890809E-2"/>
      </bottom>
      <diagonal/>
    </border>
    <border>
      <left style="thin">
        <color indexed="64"/>
      </left>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s>
  <cellStyleXfs count="7">
    <xf numFmtId="0" fontId="0" fillId="0" borderId="0"/>
    <xf numFmtId="165" fontId="1" fillId="0" borderId="0" applyFont="0" applyFill="0" applyBorder="0" applyAlignment="0" applyProtection="0"/>
    <xf numFmtId="0" fontId="2" fillId="0" borderId="1" applyNumberFormat="0" applyFill="0" applyAlignment="0" applyProtection="0"/>
    <xf numFmtId="0" fontId="6" fillId="0" borderId="0" applyNumberFormat="0" applyFill="0" applyBorder="0" applyAlignment="0" applyProtection="0"/>
    <xf numFmtId="0" fontId="7" fillId="6" borderId="0" applyNumberFormat="0" applyBorder="0" applyAlignment="0" applyProtection="0"/>
    <xf numFmtId="0" fontId="1" fillId="7" borderId="0" applyNumberFormat="0" applyBorder="0" applyAlignment="0" applyProtection="0"/>
    <xf numFmtId="9" fontId="1" fillId="0" borderId="0" applyFont="0" applyFill="0" applyBorder="0" applyAlignment="0" applyProtection="0"/>
  </cellStyleXfs>
  <cellXfs count="455">
    <xf numFmtId="0" fontId="0" fillId="0" borderId="0" xfId="0"/>
    <xf numFmtId="0" fontId="0" fillId="0" borderId="0" xfId="0" applyAlignment="1">
      <alignment vertical="top"/>
    </xf>
    <xf numFmtId="0" fontId="5" fillId="0" borderId="0" xfId="0" applyFont="1" applyAlignment="1">
      <alignment vertical="top"/>
    </xf>
    <xf numFmtId="0" fontId="0" fillId="0" borderId="0" xfId="0" applyAlignment="1">
      <alignment vertical="top" wrapText="1"/>
    </xf>
    <xf numFmtId="0" fontId="0" fillId="5" borderId="0" xfId="0" applyFill="1"/>
    <xf numFmtId="0" fontId="6" fillId="0" borderId="0" xfId="3"/>
    <xf numFmtId="0" fontId="0" fillId="8" borderId="0" xfId="0" applyFill="1" applyAlignment="1">
      <alignment vertical="center"/>
    </xf>
    <xf numFmtId="0" fontId="0" fillId="0" borderId="0" xfId="0" applyAlignment="1">
      <alignment vertical="center"/>
    </xf>
    <xf numFmtId="0" fontId="0" fillId="9" borderId="0" xfId="0" applyFill="1"/>
    <xf numFmtId="0" fontId="0" fillId="9" borderId="0" xfId="0" applyFill="1" applyAlignment="1">
      <alignment horizontal="center"/>
    </xf>
    <xf numFmtId="0" fontId="0" fillId="12" borderId="0" xfId="0" applyFill="1"/>
    <xf numFmtId="0" fontId="8" fillId="12" borderId="0" xfId="2" applyFont="1" applyFill="1" applyBorder="1" applyAlignment="1">
      <alignment vertical="center"/>
    </xf>
    <xf numFmtId="0" fontId="0" fillId="12" borderId="0" xfId="0" applyFill="1" applyAlignment="1">
      <alignment vertical="center"/>
    </xf>
    <xf numFmtId="0" fontId="6" fillId="12" borderId="0" xfId="3" applyFill="1" applyBorder="1" applyAlignment="1">
      <alignment horizontal="center" vertical="center"/>
    </xf>
    <xf numFmtId="0" fontId="0" fillId="12" borderId="0" xfId="0" applyFill="1" applyAlignment="1">
      <alignment horizontal="center" vertical="center"/>
    </xf>
    <xf numFmtId="0" fontId="0" fillId="12" borderId="0" xfId="0" applyFill="1" applyAlignment="1">
      <alignment vertical="top"/>
    </xf>
    <xf numFmtId="0" fontId="9" fillId="12" borderId="0" xfId="4" applyFont="1" applyFill="1" applyBorder="1" applyAlignment="1">
      <alignment horizontal="center" vertical="center"/>
    </xf>
    <xf numFmtId="0" fontId="12" fillId="0" borderId="0" xfId="0" applyFont="1"/>
    <xf numFmtId="0" fontId="12" fillId="0" borderId="0" xfId="4" applyFont="1" applyFill="1" applyBorder="1" applyAlignment="1">
      <alignment horizontal="center" vertical="center" wrapText="1"/>
    </xf>
    <xf numFmtId="168" fontId="0" fillId="0" borderId="0" xfId="0" applyNumberFormat="1"/>
    <xf numFmtId="0" fontId="7" fillId="9" borderId="2" xfId="4" applyFill="1" applyBorder="1" applyAlignment="1">
      <alignment horizontal="center" vertical="center" wrapText="1"/>
    </xf>
    <xf numFmtId="0" fontId="4" fillId="5" borderId="0" xfId="0" applyFont="1" applyFill="1"/>
    <xf numFmtId="0" fontId="18" fillId="0" borderId="0" xfId="0" applyFont="1"/>
    <xf numFmtId="169" fontId="0" fillId="5" borderId="0" xfId="0" applyNumberFormat="1" applyFill="1"/>
    <xf numFmtId="0" fontId="4" fillId="16" borderId="0" xfId="0" applyFont="1" applyFill="1"/>
    <xf numFmtId="0" fontId="0" fillId="16" borderId="0" xfId="0" applyFill="1"/>
    <xf numFmtId="0" fontId="0" fillId="16" borderId="23" xfId="0" applyFill="1" applyBorder="1"/>
    <xf numFmtId="0" fontId="0" fillId="16" borderId="23" xfId="0" applyFill="1" applyBorder="1" applyAlignment="1">
      <alignment horizontal="center"/>
    </xf>
    <xf numFmtId="0" fontId="0" fillId="15" borderId="17" xfId="0" applyFill="1" applyBorder="1"/>
    <xf numFmtId="0" fontId="0" fillId="14" borderId="18" xfId="0" applyFill="1" applyBorder="1"/>
    <xf numFmtId="0" fontId="0" fillId="15" borderId="27" xfId="0" applyFill="1" applyBorder="1"/>
    <xf numFmtId="0" fontId="0" fillId="14" borderId="34" xfId="0" applyFill="1" applyBorder="1"/>
    <xf numFmtId="0" fontId="0" fillId="15" borderId="19" xfId="0" applyFill="1" applyBorder="1"/>
    <xf numFmtId="0" fontId="4" fillId="15" borderId="24" xfId="0" applyFont="1" applyFill="1" applyBorder="1"/>
    <xf numFmtId="0" fontId="0" fillId="15" borderId="26" xfId="0" applyFill="1" applyBorder="1"/>
    <xf numFmtId="0" fontId="0" fillId="15" borderId="22" xfId="0" applyFill="1" applyBorder="1" applyAlignment="1">
      <alignment horizontal="center" wrapText="1"/>
    </xf>
    <xf numFmtId="0" fontId="0" fillId="15" borderId="18" xfId="0" applyFill="1" applyBorder="1" applyAlignment="1">
      <alignment horizontal="center" wrapText="1"/>
    </xf>
    <xf numFmtId="9" fontId="0" fillId="14" borderId="0" xfId="0" applyNumberFormat="1" applyFill="1"/>
    <xf numFmtId="9" fontId="0" fillId="14" borderId="34" xfId="0" applyNumberFormat="1" applyFill="1" applyBorder="1"/>
    <xf numFmtId="9" fontId="0" fillId="15" borderId="25" xfId="0" applyNumberFormat="1" applyFill="1" applyBorder="1"/>
    <xf numFmtId="9" fontId="0" fillId="15" borderId="26" xfId="0" applyNumberFormat="1" applyFill="1" applyBorder="1"/>
    <xf numFmtId="0" fontId="0" fillId="15" borderId="25" xfId="0" applyFill="1" applyBorder="1"/>
    <xf numFmtId="0" fontId="0" fillId="5" borderId="23" xfId="0" applyFill="1" applyBorder="1" applyAlignment="1">
      <alignment horizontal="center"/>
    </xf>
    <xf numFmtId="0" fontId="4" fillId="3" borderId="24" xfId="0" applyFont="1" applyFill="1" applyBorder="1"/>
    <xf numFmtId="0" fontId="0" fillId="3" borderId="26" xfId="0" applyFill="1" applyBorder="1"/>
    <xf numFmtId="0" fontId="0" fillId="3" borderId="17" xfId="0" applyFill="1" applyBorder="1"/>
    <xf numFmtId="0" fontId="0" fillId="3" borderId="27" xfId="0" applyFill="1" applyBorder="1"/>
    <xf numFmtId="0" fontId="0" fillId="0" borderId="0" xfId="0" applyAlignment="1">
      <alignment horizontal="left" indent="1"/>
    </xf>
    <xf numFmtId="0" fontId="7" fillId="9" borderId="0" xfId="4" applyFill="1" applyBorder="1" applyAlignment="1">
      <alignment horizontal="center" vertical="center" wrapText="1"/>
    </xf>
    <xf numFmtId="0" fontId="4" fillId="0" borderId="25" xfId="0" applyFont="1" applyBorder="1"/>
    <xf numFmtId="0" fontId="12" fillId="0" borderId="19" xfId="4" applyFont="1" applyFill="1" applyBorder="1" applyAlignment="1">
      <alignment horizontal="center" vertical="center" wrapText="1"/>
    </xf>
    <xf numFmtId="0" fontId="12" fillId="0" borderId="23" xfId="4" applyFont="1" applyFill="1" applyBorder="1" applyAlignment="1">
      <alignment horizontal="center" vertical="center" wrapText="1"/>
    </xf>
    <xf numFmtId="0" fontId="12" fillId="0" borderId="20" xfId="4" applyFont="1" applyFill="1" applyBorder="1" applyAlignment="1">
      <alignment horizontal="center" vertical="center" wrapText="1"/>
    </xf>
    <xf numFmtId="9" fontId="0" fillId="0" borderId="0" xfId="6" applyFont="1"/>
    <xf numFmtId="0" fontId="0" fillId="0" borderId="2" xfId="0" applyBorder="1"/>
    <xf numFmtId="1" fontId="20" fillId="0" borderId="19" xfId="0" applyNumberFormat="1" applyFont="1" applyBorder="1" applyAlignment="1" applyProtection="1">
      <alignment horizontal="center" wrapText="1"/>
      <protection locked="0"/>
    </xf>
    <xf numFmtId="1" fontId="20" fillId="0" borderId="20" xfId="0" applyNumberFormat="1" applyFont="1" applyBorder="1" applyAlignment="1" applyProtection="1">
      <alignment horizontal="center" wrapText="1"/>
      <protection locked="0"/>
    </xf>
    <xf numFmtId="1" fontId="21" fillId="0" borderId="29" xfId="0" applyNumberFormat="1" applyFont="1" applyBorder="1" applyAlignment="1" applyProtection="1">
      <alignment horizontal="center"/>
      <protection locked="0"/>
    </xf>
    <xf numFmtId="1" fontId="21" fillId="0" borderId="35" xfId="0" applyNumberFormat="1" applyFont="1" applyBorder="1" applyAlignment="1" applyProtection="1">
      <alignment horizontal="center"/>
      <protection locked="0"/>
    </xf>
    <xf numFmtId="1" fontId="21" fillId="0" borderId="31" xfId="0" applyNumberFormat="1" applyFont="1" applyBorder="1" applyAlignment="1" applyProtection="1">
      <alignment horizontal="center"/>
      <protection locked="0"/>
    </xf>
    <xf numFmtId="1" fontId="21" fillId="0" borderId="36" xfId="0" applyNumberFormat="1" applyFont="1" applyBorder="1" applyAlignment="1" applyProtection="1">
      <alignment horizontal="center"/>
      <protection locked="0"/>
    </xf>
    <xf numFmtId="1" fontId="21" fillId="0" borderId="68" xfId="0" applyNumberFormat="1" applyFont="1" applyBorder="1" applyAlignment="1" applyProtection="1">
      <alignment horizontal="center"/>
      <protection locked="0"/>
    </xf>
    <xf numFmtId="1" fontId="21" fillId="0" borderId="69" xfId="0" applyNumberFormat="1" applyFont="1" applyBorder="1" applyAlignment="1" applyProtection="1">
      <alignment horizontal="center"/>
      <protection locked="0"/>
    </xf>
    <xf numFmtId="1" fontId="21" fillId="0" borderId="70" xfId="0" applyNumberFormat="1" applyFont="1" applyBorder="1" applyAlignment="1" applyProtection="1">
      <alignment horizontal="center"/>
      <protection locked="0"/>
    </xf>
    <xf numFmtId="0" fontId="22" fillId="12" borderId="0" xfId="0" applyFont="1" applyFill="1" applyAlignment="1">
      <alignment horizontal="left" vertical="top" wrapText="1"/>
    </xf>
    <xf numFmtId="0" fontId="30" fillId="12" borderId="0" xfId="0" applyFont="1" applyFill="1" applyAlignment="1">
      <alignment horizontal="left" vertical="top" wrapText="1"/>
    </xf>
    <xf numFmtId="0" fontId="3" fillId="0" borderId="0" xfId="0" applyFont="1" applyAlignment="1">
      <alignment vertical="top"/>
    </xf>
    <xf numFmtId="0" fontId="41" fillId="0" borderId="0" xfId="4" applyFont="1" applyFill="1" applyBorder="1" applyAlignment="1">
      <alignment vertical="center"/>
    </xf>
    <xf numFmtId="0" fontId="30" fillId="0" borderId="0" xfId="4" applyFont="1" applyFill="1" applyBorder="1" applyAlignment="1">
      <alignment vertical="center" wrapText="1"/>
    </xf>
    <xf numFmtId="0" fontId="19" fillId="0" borderId="0" xfId="0" applyFont="1" applyAlignment="1">
      <alignment horizontal="center" vertical="center"/>
    </xf>
    <xf numFmtId="0" fontId="32" fillId="0" borderId="0" xfId="0" applyFont="1" applyAlignment="1">
      <alignment horizontal="left" vertical="center" wrapText="1"/>
    </xf>
    <xf numFmtId="0" fontId="20" fillId="0" borderId="94" xfId="0" applyFont="1" applyBorder="1" applyAlignment="1" applyProtection="1">
      <alignment horizontal="center" vertical="center"/>
      <protection locked="0"/>
    </xf>
    <xf numFmtId="0" fontId="0" fillId="0" borderId="0" xfId="0" applyAlignment="1">
      <alignment horizontal="left" vertical="top"/>
    </xf>
    <xf numFmtId="0" fontId="4" fillId="4" borderId="0" xfId="0" applyFont="1" applyFill="1" applyAlignment="1">
      <alignment vertical="top"/>
    </xf>
    <xf numFmtId="0" fontId="0" fillId="4" borderId="0" xfId="0" applyFill="1" applyAlignment="1">
      <alignment vertical="top"/>
    </xf>
    <xf numFmtId="0" fontId="0" fillId="4" borderId="0" xfId="0" applyFill="1" applyAlignment="1">
      <alignment horizontal="left" vertical="top"/>
    </xf>
    <xf numFmtId="166" fontId="0" fillId="0" borderId="0" xfId="1" applyNumberFormat="1" applyFont="1" applyAlignment="1">
      <alignment horizontal="right" vertical="top"/>
    </xf>
    <xf numFmtId="166" fontId="0" fillId="13" borderId="0" xfId="1" applyNumberFormat="1" applyFont="1" applyFill="1" applyAlignment="1">
      <alignment horizontal="right" vertical="top"/>
    </xf>
    <xf numFmtId="166" fontId="12" fillId="0" borderId="0" xfId="1" applyNumberFormat="1" applyFont="1" applyAlignment="1">
      <alignment horizontal="right" vertical="top"/>
    </xf>
    <xf numFmtId="0" fontId="48" fillId="0" borderId="0" xfId="0" applyFont="1" applyAlignment="1">
      <alignment vertical="top" wrapText="1"/>
    </xf>
    <xf numFmtId="166" fontId="48" fillId="0" borderId="0" xfId="1" applyNumberFormat="1" applyFont="1" applyAlignment="1">
      <alignment horizontal="right" vertical="top"/>
    </xf>
    <xf numFmtId="0" fontId="48" fillId="0" borderId="0" xfId="0" applyFont="1" applyAlignment="1">
      <alignment horizontal="left" vertical="top"/>
    </xf>
    <xf numFmtId="166" fontId="0" fillId="4" borderId="0" xfId="1" applyNumberFormat="1" applyFont="1" applyFill="1" applyAlignment="1">
      <alignment horizontal="right" vertical="top"/>
    </xf>
    <xf numFmtId="0" fontId="48" fillId="0" borderId="0" xfId="0" applyFont="1" applyAlignment="1">
      <alignment vertical="top"/>
    </xf>
    <xf numFmtId="166" fontId="48" fillId="0" borderId="0" xfId="1" quotePrefix="1" applyNumberFormat="1" applyFont="1" applyAlignment="1">
      <alignment horizontal="right" vertical="top"/>
    </xf>
    <xf numFmtId="164" fontId="48" fillId="0" borderId="0" xfId="0" applyNumberFormat="1" applyFont="1" applyAlignment="1">
      <alignment horizontal="left" vertical="top"/>
    </xf>
    <xf numFmtId="164" fontId="0" fillId="0" borderId="0" xfId="0" applyNumberFormat="1" applyAlignment="1">
      <alignment horizontal="left" vertical="top"/>
    </xf>
    <xf numFmtId="166" fontId="0" fillId="0" borderId="0" xfId="1" applyNumberFormat="1" applyFont="1" applyFill="1" applyAlignment="1">
      <alignment horizontal="right" vertical="top"/>
    </xf>
    <xf numFmtId="0" fontId="4" fillId="0" borderId="0" xfId="0" applyFont="1" applyAlignment="1">
      <alignment vertical="top"/>
    </xf>
    <xf numFmtId="166" fontId="4" fillId="0" borderId="0" xfId="1" applyNumberFormat="1" applyFont="1" applyAlignment="1">
      <alignment horizontal="right" vertical="top"/>
    </xf>
    <xf numFmtId="0" fontId="0" fillId="0" borderId="0" xfId="0" applyAlignment="1">
      <alignment horizontal="right" vertical="top"/>
    </xf>
    <xf numFmtId="0" fontId="0" fillId="0" borderId="0" xfId="0" applyAlignment="1">
      <alignment horizontal="center" vertical="top"/>
    </xf>
    <xf numFmtId="0" fontId="48" fillId="0" borderId="0" xfId="0" applyFont="1"/>
    <xf numFmtId="0" fontId="21" fillId="0" borderId="28" xfId="0" applyFont="1" applyBorder="1" applyAlignment="1" applyProtection="1">
      <alignment horizontal="center"/>
      <protection locked="0"/>
    </xf>
    <xf numFmtId="0" fontId="21" fillId="0" borderId="29" xfId="0" applyFont="1" applyBorder="1" applyAlignment="1" applyProtection="1">
      <alignment horizontal="center"/>
      <protection locked="0"/>
    </xf>
    <xf numFmtId="0" fontId="21" fillId="0" borderId="30" xfId="0" applyFont="1" applyBorder="1" applyAlignment="1" applyProtection="1">
      <alignment horizontal="center"/>
      <protection locked="0"/>
    </xf>
    <xf numFmtId="0" fontId="21" fillId="0" borderId="31" xfId="0" applyFont="1" applyBorder="1" applyAlignment="1" applyProtection="1">
      <alignment horizontal="center"/>
      <protection locked="0"/>
    </xf>
    <xf numFmtId="1" fontId="20" fillId="0" borderId="17" xfId="0" applyNumberFormat="1" applyFont="1" applyBorder="1" applyAlignment="1" applyProtection="1">
      <alignment horizontal="center" wrapText="1"/>
      <protection locked="0"/>
    </xf>
    <xf numFmtId="1" fontId="20" fillId="0" borderId="22" xfId="0" applyNumberFormat="1" applyFont="1" applyBorder="1" applyAlignment="1" applyProtection="1">
      <alignment horizontal="center" wrapText="1"/>
      <protection locked="0"/>
    </xf>
    <xf numFmtId="1" fontId="20" fillId="0" borderId="25" xfId="0" applyNumberFormat="1" applyFont="1" applyBorder="1" applyAlignment="1" applyProtection="1">
      <alignment horizontal="center" wrapText="1"/>
      <protection locked="0"/>
    </xf>
    <xf numFmtId="1" fontId="20" fillId="0" borderId="26" xfId="0" applyNumberFormat="1" applyFont="1" applyBorder="1" applyAlignment="1" applyProtection="1">
      <alignment horizontal="center" wrapText="1"/>
      <protection locked="0"/>
    </xf>
    <xf numFmtId="0" fontId="7" fillId="9" borderId="24" xfId="4" applyFill="1" applyBorder="1" applyAlignment="1" applyProtection="1">
      <alignment horizontal="center" vertical="center" wrapText="1"/>
    </xf>
    <xf numFmtId="1" fontId="21" fillId="0" borderId="165" xfId="0" applyNumberFormat="1" applyFont="1" applyBorder="1" applyAlignment="1" applyProtection="1">
      <alignment horizontal="center"/>
      <protection locked="0"/>
    </xf>
    <xf numFmtId="0" fontId="6" fillId="8" borderId="0" xfId="3" applyFill="1" applyAlignment="1" applyProtection="1">
      <alignment horizontal="center" vertical="center"/>
    </xf>
    <xf numFmtId="0" fontId="0" fillId="8" borderId="0" xfId="0" applyFill="1" applyAlignment="1">
      <alignment horizontal="center" vertical="center"/>
    </xf>
    <xf numFmtId="0" fontId="0" fillId="5" borderId="0" xfId="0" applyFill="1" applyAlignment="1">
      <alignment vertical="center"/>
    </xf>
    <xf numFmtId="0" fontId="0" fillId="5" borderId="0" xfId="0" applyFill="1" applyAlignment="1">
      <alignment wrapText="1"/>
    </xf>
    <xf numFmtId="0" fontId="3" fillId="5" borderId="0" xfId="0" applyFont="1" applyFill="1" applyAlignment="1">
      <alignment vertical="center" textRotation="46" wrapText="1"/>
    </xf>
    <xf numFmtId="0" fontId="12" fillId="5" borderId="0" xfId="0" applyFont="1" applyFill="1"/>
    <xf numFmtId="0" fontId="0" fillId="5" borderId="0" xfId="0" applyFill="1" applyAlignment="1">
      <alignment horizontal="right"/>
    </xf>
    <xf numFmtId="1" fontId="0" fillId="5" borderId="0" xfId="0" applyNumberFormat="1" applyFill="1" applyAlignment="1">
      <alignment horizontal="center"/>
    </xf>
    <xf numFmtId="0" fontId="4" fillId="5" borderId="0" xfId="0" applyFont="1" applyFill="1" applyAlignment="1">
      <alignment horizontal="right"/>
    </xf>
    <xf numFmtId="167" fontId="0" fillId="5" borderId="0" xfId="0" applyNumberFormat="1" applyFill="1" applyAlignment="1">
      <alignment horizontal="center"/>
    </xf>
    <xf numFmtId="0" fontId="9" fillId="9" borderId="24" xfId="4" applyFont="1" applyFill="1" applyBorder="1" applyAlignment="1" applyProtection="1">
      <alignment vertical="center"/>
    </xf>
    <xf numFmtId="0" fontId="7" fillId="9" borderId="157" xfId="4" applyFill="1" applyBorder="1" applyAlignment="1" applyProtection="1">
      <alignment horizontal="center" vertical="center" wrapText="1"/>
    </xf>
    <xf numFmtId="0" fontId="7" fillId="9" borderId="161" xfId="4" applyFill="1" applyBorder="1" applyAlignment="1" applyProtection="1">
      <alignment horizontal="center" vertical="center" wrapText="1"/>
    </xf>
    <xf numFmtId="0" fontId="7" fillId="9" borderId="158" xfId="4" applyFill="1" applyBorder="1" applyAlignment="1" applyProtection="1">
      <alignment horizontal="center" vertical="center" wrapText="1"/>
    </xf>
    <xf numFmtId="0" fontId="7" fillId="9" borderId="159" xfId="4" applyFill="1" applyBorder="1" applyAlignment="1" applyProtection="1">
      <alignment horizontal="center" vertical="center" wrapText="1"/>
    </xf>
    <xf numFmtId="0" fontId="7" fillId="9" borderId="160" xfId="4" applyFill="1" applyBorder="1" applyAlignment="1" applyProtection="1">
      <alignment horizontal="center" vertical="center" wrapText="1"/>
    </xf>
    <xf numFmtId="0" fontId="7" fillId="9" borderId="2" xfId="4" applyFill="1" applyBorder="1" applyAlignment="1" applyProtection="1">
      <alignment horizontal="center" vertical="center" wrapText="1"/>
    </xf>
    <xf numFmtId="0" fontId="0" fillId="5" borderId="8" xfId="0" applyFill="1" applyBorder="1"/>
    <xf numFmtId="0" fontId="9" fillId="11" borderId="142" xfId="4" applyFont="1" applyFill="1" applyBorder="1" applyAlignment="1" applyProtection="1">
      <alignment horizontal="center" vertical="center"/>
    </xf>
    <xf numFmtId="0" fontId="9" fillId="11" borderId="162" xfId="4" applyFont="1" applyFill="1" applyBorder="1" applyAlignment="1" applyProtection="1">
      <alignment horizontal="center" vertical="center"/>
    </xf>
    <xf numFmtId="0" fontId="7" fillId="11" borderId="163" xfId="4" applyFill="1" applyBorder="1" applyAlignment="1" applyProtection="1">
      <alignment horizontal="center"/>
    </xf>
    <xf numFmtId="0" fontId="7" fillId="11" borderId="132" xfId="4" applyFill="1" applyBorder="1" applyAlignment="1" applyProtection="1">
      <alignment horizontal="center"/>
    </xf>
    <xf numFmtId="3" fontId="0" fillId="11" borderId="143" xfId="0" applyNumberFormat="1" applyFill="1" applyBorder="1"/>
    <xf numFmtId="3" fontId="0" fillId="11" borderId="153" xfId="0" applyNumberFormat="1" applyFill="1" applyBorder="1"/>
    <xf numFmtId="3" fontId="0" fillId="11" borderId="154" xfId="0" applyNumberFormat="1" applyFill="1" applyBorder="1"/>
    <xf numFmtId="3" fontId="0" fillId="11" borderId="155" xfId="0" applyNumberFormat="1" applyFill="1" applyBorder="1"/>
    <xf numFmtId="3" fontId="0" fillId="11" borderId="156" xfId="0" applyNumberFormat="1" applyFill="1" applyBorder="1"/>
    <xf numFmtId="0" fontId="14" fillId="9" borderId="144" xfId="5" applyFont="1" applyFill="1" applyBorder="1" applyProtection="1"/>
    <xf numFmtId="0" fontId="10" fillId="9" borderId="164" xfId="5" applyFont="1" applyFill="1" applyBorder="1" applyAlignment="1" applyProtection="1">
      <alignment horizontal="center"/>
    </xf>
    <xf numFmtId="0" fontId="10" fillId="9" borderId="165" xfId="5" applyFont="1" applyFill="1" applyBorder="1" applyProtection="1"/>
    <xf numFmtId="0" fontId="10" fillId="9" borderId="131" xfId="5" applyFont="1" applyFill="1" applyBorder="1" applyProtection="1"/>
    <xf numFmtId="3" fontId="0" fillId="9" borderId="21" xfId="0" applyNumberFormat="1" applyFill="1" applyBorder="1"/>
    <xf numFmtId="3" fontId="0" fillId="9" borderId="151" xfId="0" applyNumberFormat="1" applyFill="1" applyBorder="1"/>
    <xf numFmtId="3" fontId="0" fillId="9" borderId="149" xfId="0" applyNumberFormat="1" applyFill="1" applyBorder="1"/>
    <xf numFmtId="3" fontId="0" fillId="9" borderId="145" xfId="0" applyNumberFormat="1" applyFill="1" applyBorder="1"/>
    <xf numFmtId="3" fontId="0" fillId="9" borderId="135" xfId="0" applyNumberFormat="1" applyFill="1" applyBorder="1"/>
    <xf numFmtId="0" fontId="0" fillId="11" borderId="144" xfId="0" applyFill="1" applyBorder="1" applyAlignment="1">
      <alignment horizontal="left" wrapText="1" indent="2"/>
    </xf>
    <xf numFmtId="0" fontId="0" fillId="11" borderId="164" xfId="0" applyFill="1" applyBorder="1" applyAlignment="1">
      <alignment horizontal="center"/>
    </xf>
    <xf numFmtId="1" fontId="0" fillId="11" borderId="131" xfId="0" applyNumberFormat="1" applyFill="1" applyBorder="1" applyAlignment="1">
      <alignment horizontal="center"/>
    </xf>
    <xf numFmtId="170" fontId="0" fillId="11" borderId="21" xfId="0" applyNumberFormat="1" applyFill="1" applyBorder="1"/>
    <xf numFmtId="170" fontId="0" fillId="11" borderId="151" xfId="0" applyNumberFormat="1" applyFill="1" applyBorder="1"/>
    <xf numFmtId="170" fontId="0" fillId="11" borderId="149" xfId="0" applyNumberFormat="1" applyFill="1" applyBorder="1"/>
    <xf numFmtId="170" fontId="0" fillId="11" borderId="167" xfId="0" applyNumberFormat="1" applyFill="1" applyBorder="1"/>
    <xf numFmtId="170" fontId="0" fillId="11" borderId="168" xfId="0" quotePrefix="1" applyNumberFormat="1" applyFill="1" applyBorder="1" applyAlignment="1">
      <alignment horizontal="right"/>
    </xf>
    <xf numFmtId="170" fontId="0" fillId="11" borderId="169" xfId="0" applyNumberFormat="1" applyFill="1" applyBorder="1"/>
    <xf numFmtId="0" fontId="0" fillId="11" borderId="131" xfId="0" applyFill="1" applyBorder="1" applyAlignment="1">
      <alignment horizontal="center"/>
    </xf>
    <xf numFmtId="170" fontId="0" fillId="11" borderId="151" xfId="0" quotePrefix="1" applyNumberFormat="1" applyFill="1" applyBorder="1" applyAlignment="1">
      <alignment horizontal="right"/>
    </xf>
    <xf numFmtId="170" fontId="0" fillId="11" borderId="168" xfId="0" applyNumberFormat="1" applyFill="1" applyBorder="1"/>
    <xf numFmtId="0" fontId="0" fillId="11" borderId="144" xfId="0" applyFill="1" applyBorder="1" applyAlignment="1">
      <alignment horizontal="left" vertical="top" indent="2"/>
    </xf>
    <xf numFmtId="0" fontId="0" fillId="11" borderId="164" xfId="0" applyFill="1" applyBorder="1" applyAlignment="1">
      <alignment horizontal="center" vertical="top"/>
    </xf>
    <xf numFmtId="0" fontId="15" fillId="9" borderId="144" xfId="5" applyFont="1" applyFill="1" applyBorder="1" applyProtection="1"/>
    <xf numFmtId="170" fontId="0" fillId="9" borderId="21" xfId="0" applyNumberFormat="1" applyFill="1" applyBorder="1"/>
    <xf numFmtId="170" fontId="0" fillId="9" borderId="151" xfId="0" applyNumberFormat="1" applyFill="1" applyBorder="1"/>
    <xf numFmtId="170" fontId="0" fillId="9" borderId="149" xfId="0" applyNumberFormat="1" applyFill="1" applyBorder="1"/>
    <xf numFmtId="170" fontId="0" fillId="9" borderId="145" xfId="0" applyNumberFormat="1" applyFill="1" applyBorder="1"/>
    <xf numFmtId="170" fontId="0" fillId="9" borderId="135" xfId="0" applyNumberFormat="1" applyFill="1" applyBorder="1"/>
    <xf numFmtId="0" fontId="0" fillId="11" borderId="144" xfId="0" applyFill="1" applyBorder="1" applyAlignment="1">
      <alignment horizontal="left" vertical="top" wrapText="1" indent="2"/>
    </xf>
    <xf numFmtId="170" fontId="0" fillId="11" borderId="145" xfId="0" applyNumberFormat="1" applyFill="1" applyBorder="1"/>
    <xf numFmtId="170" fontId="0" fillId="11" borderId="135" xfId="0" applyNumberFormat="1" applyFill="1" applyBorder="1"/>
    <xf numFmtId="0" fontId="0" fillId="11" borderId="144" xfId="0" applyFill="1" applyBorder="1" applyAlignment="1">
      <alignment horizontal="left" indent="2"/>
    </xf>
    <xf numFmtId="1" fontId="0" fillId="11" borderId="164" xfId="0" applyNumberFormat="1" applyFill="1" applyBorder="1" applyAlignment="1">
      <alignment horizontal="center"/>
    </xf>
    <xf numFmtId="0" fontId="0" fillId="11" borderId="146" xfId="0" applyFill="1" applyBorder="1" applyAlignment="1">
      <alignment horizontal="left" vertical="top" indent="2"/>
    </xf>
    <xf numFmtId="1" fontId="0" fillId="11" borderId="164" xfId="0" applyNumberFormat="1" applyFill="1" applyBorder="1" applyAlignment="1">
      <alignment horizontal="center" vertical="top"/>
    </xf>
    <xf numFmtId="1" fontId="0" fillId="11" borderId="166" xfId="0" applyNumberFormat="1" applyFill="1" applyBorder="1" applyAlignment="1">
      <alignment horizontal="center"/>
    </xf>
    <xf numFmtId="1" fontId="0" fillId="11" borderId="147" xfId="0" applyNumberFormat="1" applyFill="1" applyBorder="1" applyAlignment="1">
      <alignment horizontal="center"/>
    </xf>
    <xf numFmtId="170" fontId="0" fillId="11" borderId="102" xfId="0" applyNumberFormat="1" applyFill="1" applyBorder="1"/>
    <xf numFmtId="170" fontId="0" fillId="11" borderId="152" xfId="0" applyNumberFormat="1" applyFill="1" applyBorder="1"/>
    <xf numFmtId="170" fontId="0" fillId="11" borderId="150" xfId="0" applyNumberFormat="1" applyFill="1" applyBorder="1"/>
    <xf numFmtId="170" fontId="0" fillId="11" borderId="148" xfId="0" applyNumberFormat="1" applyFill="1" applyBorder="1"/>
    <xf numFmtId="170" fontId="0" fillId="11" borderId="136" xfId="0" applyNumberFormat="1" applyFill="1" applyBorder="1"/>
    <xf numFmtId="0" fontId="0" fillId="5" borderId="15" xfId="0" applyFill="1" applyBorder="1"/>
    <xf numFmtId="0" fontId="0" fillId="5" borderId="15" xfId="0" applyFill="1" applyBorder="1" applyAlignment="1">
      <alignment horizontal="center"/>
    </xf>
    <xf numFmtId="0" fontId="0" fillId="5" borderId="0" xfId="0" applyFill="1" applyAlignment="1">
      <alignment horizontal="center"/>
    </xf>
    <xf numFmtId="170" fontId="53" fillId="5" borderId="0" xfId="0" applyNumberFormat="1" applyFont="1" applyFill="1" applyAlignment="1">
      <alignment horizontal="center"/>
    </xf>
    <xf numFmtId="0" fontId="15" fillId="9" borderId="112" xfId="5" applyFont="1" applyFill="1" applyBorder="1" applyProtection="1"/>
    <xf numFmtId="0" fontId="10" fillId="9" borderId="22" xfId="5" applyFont="1" applyFill="1" applyBorder="1" applyAlignment="1" applyProtection="1">
      <alignment horizontal="center"/>
    </xf>
    <xf numFmtId="0" fontId="10" fillId="9" borderId="111" xfId="5" applyFont="1" applyFill="1" applyBorder="1" applyAlignment="1" applyProtection="1">
      <alignment horizontal="center"/>
    </xf>
    <xf numFmtId="0" fontId="10" fillId="9" borderId="130" xfId="5" applyFont="1" applyFill="1" applyBorder="1" applyAlignment="1" applyProtection="1">
      <alignment horizontal="center"/>
    </xf>
    <xf numFmtId="0" fontId="10" fillId="5" borderId="0" xfId="5" applyFont="1" applyFill="1" applyBorder="1" applyAlignment="1" applyProtection="1">
      <alignment horizontal="center"/>
    </xf>
    <xf numFmtId="0" fontId="0" fillId="11" borderId="113" xfId="0" applyFill="1" applyBorder="1" applyAlignment="1">
      <alignment horizontal="left" indent="2"/>
    </xf>
    <xf numFmtId="0" fontId="0" fillId="11" borderId="8" xfId="0" applyFill="1" applyBorder="1" applyAlignment="1">
      <alignment horizontal="left" indent="2"/>
    </xf>
    <xf numFmtId="170" fontId="0" fillId="11" borderId="117" xfId="0" applyNumberFormat="1" applyFill="1" applyBorder="1" applyAlignment="1">
      <alignment horizontal="center"/>
    </xf>
    <xf numFmtId="170" fontId="0" fillId="11" borderId="170" xfId="0" applyNumberFormat="1" applyFill="1" applyBorder="1" applyAlignment="1">
      <alignment horizontal="center"/>
    </xf>
    <xf numFmtId="170" fontId="0" fillId="5" borderId="0" xfId="0" applyNumberFormat="1" applyFill="1" applyAlignment="1">
      <alignment horizontal="center"/>
    </xf>
    <xf numFmtId="170" fontId="0" fillId="11" borderId="118" xfId="0" applyNumberFormat="1" applyFill="1" applyBorder="1" applyAlignment="1">
      <alignment horizontal="center"/>
    </xf>
    <xf numFmtId="170" fontId="0" fillId="11" borderId="171" xfId="0" applyNumberFormat="1" applyFill="1" applyBorder="1" applyAlignment="1">
      <alignment horizontal="center"/>
    </xf>
    <xf numFmtId="0" fontId="0" fillId="11" borderId="114" xfId="0" applyFill="1" applyBorder="1" applyAlignment="1">
      <alignment horizontal="left" indent="2"/>
    </xf>
    <xf numFmtId="0" fontId="0" fillId="11" borderId="115" xfId="0" applyFill="1" applyBorder="1" applyAlignment="1">
      <alignment horizontal="left" indent="2"/>
    </xf>
    <xf numFmtId="170" fontId="0" fillId="11" borderId="119" xfId="0" applyNumberFormat="1" applyFill="1" applyBorder="1" applyAlignment="1">
      <alignment horizontal="center"/>
    </xf>
    <xf numFmtId="170" fontId="0" fillId="11" borderId="47" xfId="0" applyNumberFormat="1" applyFill="1" applyBorder="1" applyAlignment="1">
      <alignment horizontal="center"/>
    </xf>
    <xf numFmtId="0" fontId="0" fillId="0" borderId="0" xfId="0" applyAlignment="1">
      <alignment horizontal="center"/>
    </xf>
    <xf numFmtId="0" fontId="11" fillId="9" borderId="4" xfId="4" applyFont="1" applyFill="1" applyBorder="1" applyAlignment="1" applyProtection="1">
      <alignment horizontal="center"/>
    </xf>
    <xf numFmtId="0" fontId="11" fillId="9" borderId="7" xfId="4" applyFont="1" applyFill="1" applyBorder="1" applyAlignment="1" applyProtection="1">
      <alignment horizontal="center"/>
    </xf>
    <xf numFmtId="0" fontId="4" fillId="11" borderId="9" xfId="4" applyFont="1" applyFill="1" applyBorder="1" applyAlignment="1" applyProtection="1">
      <alignment horizontal="center" vertical="center"/>
    </xf>
    <xf numFmtId="0" fontId="4" fillId="11" borderId="116" xfId="4" applyFont="1" applyFill="1" applyBorder="1" applyAlignment="1" applyProtection="1">
      <alignment horizontal="center" vertical="center" wrapText="1"/>
    </xf>
    <xf numFmtId="0" fontId="0" fillId="11" borderId="5" xfId="4" applyFont="1" applyFill="1" applyBorder="1" applyAlignment="1" applyProtection="1">
      <alignment horizontal="center" vertical="center"/>
    </xf>
    <xf numFmtId="0" fontId="4" fillId="11" borderId="10" xfId="4" applyFont="1" applyFill="1" applyBorder="1" applyAlignment="1" applyProtection="1">
      <alignment horizontal="center" vertical="center" wrapText="1"/>
    </xf>
    <xf numFmtId="0" fontId="4" fillId="11" borderId="113" xfId="0" applyFont="1" applyFill="1" applyBorder="1" applyAlignment="1">
      <alignment horizontal="left" indent="2"/>
    </xf>
    <xf numFmtId="170" fontId="0" fillId="11" borderId="120" xfId="0" applyNumberFormat="1" applyFill="1" applyBorder="1" applyAlignment="1">
      <alignment horizontal="center"/>
    </xf>
    <xf numFmtId="170" fontId="0" fillId="11" borderId="121" xfId="0" applyNumberFormat="1" applyFill="1" applyBorder="1" applyAlignment="1">
      <alignment horizontal="center"/>
    </xf>
    <xf numFmtId="170" fontId="0" fillId="11" borderId="122" xfId="0" applyNumberFormat="1" applyFill="1" applyBorder="1" applyAlignment="1">
      <alignment horizontal="center"/>
    </xf>
    <xf numFmtId="170" fontId="0" fillId="11" borderId="123" xfId="0" applyNumberFormat="1" applyFill="1" applyBorder="1" applyAlignment="1">
      <alignment horizontal="center"/>
    </xf>
    <xf numFmtId="170" fontId="0" fillId="11" borderId="124" xfId="0" applyNumberFormat="1" applyFill="1" applyBorder="1" applyAlignment="1">
      <alignment horizontal="center"/>
    </xf>
    <xf numFmtId="170" fontId="0" fillId="11" borderId="125" xfId="0" applyNumberFormat="1" applyFill="1" applyBorder="1" applyAlignment="1">
      <alignment horizontal="center"/>
    </xf>
    <xf numFmtId="0" fontId="0" fillId="0" borderId="6" xfId="0" applyBorder="1"/>
    <xf numFmtId="0" fontId="4" fillId="11" borderId="9" xfId="0" applyFont="1" applyFill="1" applyBorder="1" applyAlignment="1">
      <alignment horizontal="left" indent="2"/>
    </xf>
    <xf numFmtId="170" fontId="0" fillId="11" borderId="126" xfId="0" applyNumberFormat="1" applyFill="1" applyBorder="1" applyAlignment="1">
      <alignment horizontal="center"/>
    </xf>
    <xf numFmtId="170" fontId="0" fillId="11" borderId="127" xfId="0" applyNumberFormat="1" applyFill="1" applyBorder="1" applyAlignment="1">
      <alignment horizontal="center"/>
    </xf>
    <xf numFmtId="170" fontId="0" fillId="11" borderId="128" xfId="0" applyNumberFormat="1" applyFill="1" applyBorder="1" applyAlignment="1">
      <alignment horizontal="center"/>
    </xf>
    <xf numFmtId="0" fontId="54" fillId="0" borderId="0" xfId="4" applyFont="1" applyFill="1" applyBorder="1" applyAlignment="1" applyProtection="1">
      <alignment horizontal="center"/>
    </xf>
    <xf numFmtId="0" fontId="55" fillId="0" borderId="0" xfId="4" applyFont="1" applyFill="1" applyBorder="1" applyAlignment="1" applyProtection="1">
      <alignment vertical="center" wrapText="1"/>
    </xf>
    <xf numFmtId="0" fontId="12" fillId="0" borderId="0" xfId="4" applyFont="1" applyFill="1" applyBorder="1" applyAlignment="1" applyProtection="1">
      <alignment vertical="center"/>
    </xf>
    <xf numFmtId="0" fontId="54" fillId="0" borderId="0" xfId="4" applyFont="1" applyFill="1" applyBorder="1" applyAlignment="1" applyProtection="1">
      <alignment horizontal="center" vertical="center" wrapText="1"/>
    </xf>
    <xf numFmtId="0" fontId="12" fillId="0" borderId="0" xfId="4" applyFont="1" applyFill="1" applyBorder="1" applyAlignment="1" applyProtection="1">
      <alignment horizontal="center" vertical="center"/>
    </xf>
    <xf numFmtId="0" fontId="54" fillId="0" borderId="0" xfId="0" applyFont="1" applyAlignment="1">
      <alignment horizontal="left" indent="2"/>
    </xf>
    <xf numFmtId="170" fontId="12" fillId="0" borderId="0" xfId="0" applyNumberFormat="1" applyFont="1" applyAlignment="1">
      <alignment horizontal="left"/>
    </xf>
    <xf numFmtId="0" fontId="0" fillId="11" borderId="139" xfId="0" applyFill="1" applyBorder="1" applyAlignment="1">
      <alignment horizontal="center"/>
    </xf>
    <xf numFmtId="0" fontId="0" fillId="11" borderId="173" xfId="0" applyFill="1" applyBorder="1" applyAlignment="1">
      <alignment horizontal="center"/>
    </xf>
    <xf numFmtId="0" fontId="0" fillId="11" borderId="141" xfId="0" applyFill="1" applyBorder="1" applyAlignment="1">
      <alignment horizontal="center"/>
    </xf>
    <xf numFmtId="1" fontId="0" fillId="11" borderId="139" xfId="0" applyNumberFormat="1" applyFill="1" applyBorder="1" applyAlignment="1">
      <alignment horizontal="center"/>
    </xf>
    <xf numFmtId="1" fontId="0" fillId="11" borderId="173" xfId="0" applyNumberFormat="1" applyFill="1" applyBorder="1" applyAlignment="1">
      <alignment horizontal="center"/>
    </xf>
    <xf numFmtId="1" fontId="0" fillId="11" borderId="141" xfId="0" applyNumberFormat="1" applyFill="1" applyBorder="1" applyAlignment="1">
      <alignment horizontal="center"/>
    </xf>
    <xf numFmtId="0" fontId="52" fillId="0" borderId="0" xfId="2" applyFont="1" applyFill="1" applyBorder="1" applyAlignment="1" applyProtection="1">
      <alignment vertical="center"/>
    </xf>
    <xf numFmtId="0" fontId="0" fillId="10" borderId="0" xfId="0" applyFill="1" applyAlignment="1">
      <alignment vertical="center"/>
    </xf>
    <xf numFmtId="0" fontId="0" fillId="10" borderId="0" xfId="0" applyFill="1" applyAlignment="1">
      <alignment horizontal="center" vertical="center"/>
    </xf>
    <xf numFmtId="0" fontId="12" fillId="0" borderId="0" xfId="0" applyFont="1" applyAlignment="1">
      <alignment vertical="center"/>
    </xf>
    <xf numFmtId="0" fontId="51" fillId="9" borderId="2" xfId="4" applyFont="1" applyFill="1" applyBorder="1" applyAlignment="1" applyProtection="1">
      <alignment horizontal="left" vertical="center" wrapText="1"/>
    </xf>
    <xf numFmtId="0" fontId="0" fillId="10" borderId="0" xfId="0" applyFill="1"/>
    <xf numFmtId="0" fontId="12" fillId="0" borderId="0" xfId="0" applyFont="1" applyAlignment="1">
      <alignment wrapText="1"/>
    </xf>
    <xf numFmtId="0" fontId="0" fillId="0" borderId="0" xfId="0" applyAlignment="1">
      <alignment wrapText="1"/>
    </xf>
    <xf numFmtId="0" fontId="12" fillId="0" borderId="0" xfId="0" applyFont="1" applyAlignment="1">
      <alignment horizontal="center"/>
    </xf>
    <xf numFmtId="0" fontId="9" fillId="9" borderId="11" xfId="4" applyFont="1" applyFill="1" applyBorder="1" applyAlignment="1" applyProtection="1">
      <alignment vertical="center"/>
    </xf>
    <xf numFmtId="0" fontId="9" fillId="9" borderId="12" xfId="4" applyFont="1" applyFill="1" applyBorder="1" applyAlignment="1" applyProtection="1">
      <alignment vertical="center"/>
    </xf>
    <xf numFmtId="0" fontId="9" fillId="9" borderId="77" xfId="4" applyFont="1" applyFill="1" applyBorder="1" applyAlignment="1" applyProtection="1">
      <alignment vertical="center"/>
    </xf>
    <xf numFmtId="0" fontId="25" fillId="0" borderId="0" xfId="0" applyFont="1"/>
    <xf numFmtId="0" fontId="4" fillId="17" borderId="79" xfId="0" applyFont="1" applyFill="1" applyBorder="1"/>
    <xf numFmtId="0" fontId="0" fillId="17" borderId="22" xfId="0" applyFill="1" applyBorder="1"/>
    <xf numFmtId="0" fontId="0" fillId="17" borderId="80" xfId="0" applyFill="1" applyBorder="1"/>
    <xf numFmtId="0" fontId="0" fillId="17" borderId="79" xfId="0" applyFill="1" applyBorder="1"/>
    <xf numFmtId="0" fontId="7" fillId="9" borderId="40" xfId="4" applyFill="1" applyBorder="1" applyAlignment="1" applyProtection="1">
      <alignment horizontal="center" wrapText="1"/>
    </xf>
    <xf numFmtId="0" fontId="7" fillId="9" borderId="40" xfId="4" applyFill="1" applyBorder="1" applyAlignment="1" applyProtection="1">
      <alignment horizontal="center" vertical="center" wrapText="1"/>
    </xf>
    <xf numFmtId="0" fontId="7" fillId="9" borderId="17" xfId="4" applyFill="1" applyBorder="1" applyAlignment="1" applyProtection="1">
      <alignment horizontal="center" vertical="center" wrapText="1"/>
    </xf>
    <xf numFmtId="0" fontId="0" fillId="11" borderId="40" xfId="0" applyFill="1" applyBorder="1" applyAlignment="1">
      <alignment horizontal="left" vertical="center" wrapText="1"/>
    </xf>
    <xf numFmtId="1" fontId="0" fillId="11" borderId="2" xfId="0" applyNumberFormat="1" applyFill="1" applyBorder="1" applyAlignment="1">
      <alignment horizontal="center" wrapText="1"/>
    </xf>
    <xf numFmtId="0" fontId="0" fillId="2" borderId="0" xfId="0" applyFill="1" applyAlignment="1">
      <alignment horizontal="center"/>
    </xf>
    <xf numFmtId="0" fontId="0" fillId="11" borderId="41" xfId="0" applyFill="1" applyBorder="1" applyAlignment="1">
      <alignment horizontal="left" vertical="center" wrapText="1"/>
    </xf>
    <xf numFmtId="0" fontId="0" fillId="17" borderId="0" xfId="0" applyFill="1"/>
    <xf numFmtId="0" fontId="0" fillId="17" borderId="82" xfId="0" applyFill="1" applyBorder="1"/>
    <xf numFmtId="0" fontId="0" fillId="17" borderId="78" xfId="0" applyFill="1" applyBorder="1"/>
    <xf numFmtId="0" fontId="0" fillId="0" borderId="25" xfId="0" applyBorder="1"/>
    <xf numFmtId="0" fontId="0" fillId="17" borderId="41" xfId="0" applyFill="1" applyBorder="1"/>
    <xf numFmtId="0" fontId="0" fillId="11" borderId="17" xfId="0" applyFill="1" applyBorder="1" applyAlignment="1">
      <alignment vertical="center" wrapText="1"/>
    </xf>
    <xf numFmtId="1" fontId="0" fillId="12" borderId="93" xfId="0" applyNumberFormat="1" applyFill="1" applyBorder="1" applyAlignment="1">
      <alignment horizontal="center" vertical="center" wrapText="1"/>
    </xf>
    <xf numFmtId="1" fontId="0" fillId="12" borderId="94" xfId="0" applyNumberFormat="1" applyFill="1" applyBorder="1" applyAlignment="1">
      <alignment horizontal="center" vertical="center" wrapText="1"/>
    </xf>
    <xf numFmtId="1" fontId="0" fillId="12" borderId="95" xfId="0" applyNumberFormat="1" applyFill="1" applyBorder="1" applyAlignment="1">
      <alignment horizontal="center" vertical="center" wrapText="1"/>
    </xf>
    <xf numFmtId="0" fontId="0" fillId="0" borderId="129" xfId="0" applyBorder="1"/>
    <xf numFmtId="0" fontId="0" fillId="11" borderId="89" xfId="0" applyFill="1" applyBorder="1" applyAlignment="1">
      <alignment horizontal="left" vertical="center" wrapText="1" indent="1"/>
    </xf>
    <xf numFmtId="0" fontId="0" fillId="11" borderId="96" xfId="0" applyFill="1" applyBorder="1" applyAlignment="1">
      <alignment horizontal="center" wrapText="1"/>
    </xf>
    <xf numFmtId="0" fontId="0" fillId="11" borderId="97" xfId="0" applyFill="1" applyBorder="1" applyAlignment="1">
      <alignment horizontal="center" wrapText="1"/>
    </xf>
    <xf numFmtId="0" fontId="0" fillId="11" borderId="98" xfId="0" applyFill="1" applyBorder="1" applyAlignment="1">
      <alignment horizontal="center" wrapText="1"/>
    </xf>
    <xf numFmtId="0" fontId="4" fillId="11" borderId="24" xfId="0" applyFont="1" applyFill="1" applyBorder="1" applyAlignment="1">
      <alignment horizontal="left" wrapText="1"/>
    </xf>
    <xf numFmtId="1" fontId="4" fillId="11" borderId="25" xfId="0" applyNumberFormat="1" applyFont="1" applyFill="1" applyBorder="1" applyAlignment="1">
      <alignment horizontal="center" wrapText="1"/>
    </xf>
    <xf numFmtId="1" fontId="4" fillId="11" borderId="26" xfId="0" applyNumberFormat="1" applyFont="1" applyFill="1" applyBorder="1" applyAlignment="1">
      <alignment horizontal="center" wrapText="1"/>
    </xf>
    <xf numFmtId="1" fontId="4" fillId="11" borderId="2" xfId="0" applyNumberFormat="1" applyFont="1" applyFill="1" applyBorder="1" applyAlignment="1">
      <alignment horizontal="center" wrapText="1"/>
    </xf>
    <xf numFmtId="0" fontId="46" fillId="17" borderId="81" xfId="0" applyFont="1" applyFill="1" applyBorder="1" applyAlignment="1">
      <alignment vertical="center"/>
    </xf>
    <xf numFmtId="0" fontId="46" fillId="17" borderId="0" xfId="0" applyFont="1" applyFill="1" applyAlignment="1">
      <alignment horizontal="center" vertical="center"/>
    </xf>
    <xf numFmtId="0" fontId="46" fillId="17" borderId="82" xfId="0" applyFont="1" applyFill="1" applyBorder="1" applyAlignment="1">
      <alignment horizontal="center" vertical="center"/>
    </xf>
    <xf numFmtId="0" fontId="46" fillId="17" borderId="83" xfId="0" applyFont="1" applyFill="1" applyBorder="1" applyAlignment="1">
      <alignment horizontal="center" vertical="center"/>
    </xf>
    <xf numFmtId="0" fontId="46" fillId="17" borderId="84" xfId="0" applyFont="1" applyFill="1" applyBorder="1" applyAlignment="1">
      <alignment horizontal="center"/>
    </xf>
    <xf numFmtId="0" fontId="46" fillId="17" borderId="85" xfId="0" applyFont="1" applyFill="1" applyBorder="1" applyAlignment="1">
      <alignment horizontal="center" vertical="center"/>
    </xf>
    <xf numFmtId="0" fontId="41" fillId="0" borderId="0" xfId="4" applyFont="1" applyFill="1" applyBorder="1" applyAlignment="1" applyProtection="1">
      <alignment vertical="center"/>
    </xf>
    <xf numFmtId="0" fontId="18" fillId="10" borderId="0" xfId="0" applyFont="1" applyFill="1"/>
    <xf numFmtId="0" fontId="7" fillId="9" borderId="2" xfId="4" applyFill="1" applyBorder="1" applyAlignment="1" applyProtection="1">
      <alignment horizontal="center" wrapText="1"/>
    </xf>
    <xf numFmtId="1" fontId="0" fillId="11" borderId="2" xfId="0" applyNumberFormat="1" applyFill="1" applyBorder="1" applyAlignment="1">
      <alignment horizontal="center" vertical="center" wrapText="1"/>
    </xf>
    <xf numFmtId="0" fontId="4" fillId="0" borderId="0" xfId="0" applyFont="1"/>
    <xf numFmtId="0" fontId="0" fillId="0" borderId="17" xfId="0" applyBorder="1"/>
    <xf numFmtId="0" fontId="0" fillId="0" borderId="22" xfId="0" applyBorder="1" applyAlignment="1">
      <alignment horizontal="center"/>
    </xf>
    <xf numFmtId="0" fontId="0" fillId="0" borderId="18" xfId="0" applyBorder="1" applyAlignment="1">
      <alignment horizontal="center"/>
    </xf>
    <xf numFmtId="0" fontId="0" fillId="10" borderId="0" xfId="0" applyFill="1" applyAlignment="1">
      <alignment horizontal="right"/>
    </xf>
    <xf numFmtId="0" fontId="0" fillId="0" borderId="27" xfId="0" applyBorder="1"/>
    <xf numFmtId="0" fontId="0" fillId="0" borderId="34" xfId="0" applyBorder="1"/>
    <xf numFmtId="0" fontId="3" fillId="10" borderId="0" xfId="0" applyFont="1" applyFill="1"/>
    <xf numFmtId="0" fontId="0" fillId="0" borderId="19" xfId="0" applyBorder="1"/>
    <xf numFmtId="0" fontId="0" fillId="0" borderId="23" xfId="0" applyBorder="1"/>
    <xf numFmtId="0" fontId="0" fillId="0" borderId="20" xfId="0" applyBorder="1"/>
    <xf numFmtId="0" fontId="7" fillId="5" borderId="0" xfId="4" applyFill="1" applyBorder="1" applyAlignment="1" applyProtection="1">
      <alignment horizontal="center" vertical="center" wrapText="1"/>
    </xf>
    <xf numFmtId="0" fontId="12" fillId="0" borderId="0" xfId="0" applyFont="1" applyAlignment="1">
      <alignment horizontal="center" wrapText="1"/>
    </xf>
    <xf numFmtId="0" fontId="7" fillId="5" borderId="78" xfId="4" applyFill="1" applyBorder="1" applyAlignment="1" applyProtection="1">
      <alignment horizontal="center" vertical="center" wrapText="1"/>
    </xf>
    <xf numFmtId="0" fontId="0" fillId="5" borderId="0" xfId="0" applyFill="1" applyAlignment="1">
      <alignment horizontal="center" vertical="center" wrapText="1"/>
    </xf>
    <xf numFmtId="0" fontId="0" fillId="5" borderId="27" xfId="0" applyFill="1" applyBorder="1" applyAlignment="1">
      <alignment horizontal="center" vertical="center" wrapText="1"/>
    </xf>
    <xf numFmtId="0" fontId="4" fillId="5" borderId="2" xfId="0" applyFont="1" applyFill="1" applyBorder="1" applyAlignment="1">
      <alignment horizontal="center" vertical="center" wrapText="1"/>
    </xf>
    <xf numFmtId="0" fontId="0" fillId="11" borderId="134" xfId="0" applyFill="1" applyBorder="1" applyAlignment="1">
      <alignment horizontal="left" wrapText="1" indent="2"/>
    </xf>
    <xf numFmtId="0" fontId="0" fillId="11" borderId="32" xfId="0" applyFill="1" applyBorder="1" applyAlignment="1">
      <alignment horizontal="center" wrapText="1"/>
    </xf>
    <xf numFmtId="0" fontId="0" fillId="5" borderId="0" xfId="0" applyFill="1" applyAlignment="1">
      <alignment horizontal="center" wrapText="1"/>
    </xf>
    <xf numFmtId="1" fontId="0" fillId="11" borderId="32" xfId="0" applyNumberFormat="1" applyFill="1" applyBorder="1" applyAlignment="1">
      <alignment horizontal="center" wrapText="1"/>
    </xf>
    <xf numFmtId="1" fontId="0" fillId="0" borderId="0" xfId="0" applyNumberFormat="1"/>
    <xf numFmtId="0" fontId="0" fillId="11" borderId="135" xfId="0" applyFill="1" applyBorder="1" applyAlignment="1">
      <alignment horizontal="left" wrapText="1" indent="2"/>
    </xf>
    <xf numFmtId="0" fontId="0" fillId="11" borderId="136" xfId="0" applyFill="1" applyBorder="1" applyAlignment="1">
      <alignment horizontal="left" wrapText="1" indent="2"/>
    </xf>
    <xf numFmtId="0" fontId="0" fillId="11" borderId="33" xfId="0" applyFill="1" applyBorder="1" applyAlignment="1">
      <alignment horizontal="center" wrapText="1"/>
    </xf>
    <xf numFmtId="0" fontId="0" fillId="5" borderId="22" xfId="0" applyFill="1" applyBorder="1" applyAlignment="1">
      <alignment horizontal="right" vertical="center" wrapText="1"/>
    </xf>
    <xf numFmtId="1" fontId="0" fillId="5" borderId="22" xfId="0" applyNumberFormat="1" applyFill="1" applyBorder="1" applyAlignment="1">
      <alignment horizontal="center" wrapText="1"/>
    </xf>
    <xf numFmtId="1" fontId="0" fillId="5" borderId="18" xfId="0" applyNumberFormat="1" applyFill="1" applyBorder="1" applyAlignment="1">
      <alignment horizontal="center" wrapText="1"/>
    </xf>
    <xf numFmtId="1" fontId="0" fillId="5" borderId="0" xfId="0" applyNumberFormat="1" applyFill="1" applyAlignment="1">
      <alignment horizontal="center" wrapText="1"/>
    </xf>
    <xf numFmtId="0" fontId="0" fillId="0" borderId="37" xfId="0" applyBorder="1"/>
    <xf numFmtId="0" fontId="0" fillId="0" borderId="38" xfId="0" applyBorder="1"/>
    <xf numFmtId="0" fontId="0" fillId="0" borderId="39" xfId="0" applyBorder="1"/>
    <xf numFmtId="0" fontId="18" fillId="5" borderId="0" xfId="0" applyFont="1" applyFill="1"/>
    <xf numFmtId="0" fontId="3" fillId="5" borderId="0" xfId="0" applyFont="1" applyFill="1"/>
    <xf numFmtId="0" fontId="0" fillId="5" borderId="23" xfId="0" applyFill="1" applyBorder="1"/>
    <xf numFmtId="0" fontId="0" fillId="5" borderId="48" xfId="0" applyFill="1" applyBorder="1" applyAlignment="1">
      <alignment horizontal="center" vertical="center" wrapText="1"/>
    </xf>
    <xf numFmtId="0" fontId="0" fillId="5" borderId="59" xfId="0" applyFill="1" applyBorder="1" applyAlignment="1">
      <alignment horizontal="center" vertical="center" wrapText="1"/>
    </xf>
    <xf numFmtId="0" fontId="0" fillId="5" borderId="60" xfId="0" applyFill="1" applyBorder="1" applyAlignment="1">
      <alignment horizontal="center" vertical="center" wrapText="1"/>
    </xf>
    <xf numFmtId="0" fontId="0" fillId="0" borderId="57" xfId="0" applyBorder="1"/>
    <xf numFmtId="1" fontId="0" fillId="0" borderId="66" xfId="0" applyNumberFormat="1" applyBorder="1"/>
    <xf numFmtId="0" fontId="0" fillId="0" borderId="58" xfId="0" applyBorder="1"/>
    <xf numFmtId="0" fontId="0" fillId="0" borderId="73" xfId="0" applyBorder="1" applyAlignment="1">
      <alignment horizontal="center"/>
    </xf>
    <xf numFmtId="0" fontId="0" fillId="0" borderId="61" xfId="0" applyBorder="1"/>
    <xf numFmtId="0" fontId="0" fillId="0" borderId="71" xfId="0" applyBorder="1"/>
    <xf numFmtId="0" fontId="0" fillId="0" borderId="72" xfId="0" applyBorder="1"/>
    <xf numFmtId="0" fontId="0" fillId="0" borderId="49" xfId="0" applyBorder="1"/>
    <xf numFmtId="1" fontId="0" fillId="0" borderId="67" xfId="0" applyNumberFormat="1" applyBorder="1"/>
    <xf numFmtId="0" fontId="0" fillId="0" borderId="46" xfId="0" applyBorder="1"/>
    <xf numFmtId="0" fontId="0" fillId="0" borderId="74" xfId="0" applyBorder="1" applyAlignment="1">
      <alignment horizontal="center"/>
    </xf>
    <xf numFmtId="0" fontId="0" fillId="0" borderId="62" xfId="0" applyBorder="1"/>
    <xf numFmtId="0" fontId="0" fillId="0" borderId="50" xfId="0" applyBorder="1"/>
    <xf numFmtId="1" fontId="0" fillId="0" borderId="63" xfId="0" applyNumberFormat="1" applyBorder="1"/>
    <xf numFmtId="0" fontId="0" fillId="0" borderId="64" xfId="0" applyBorder="1"/>
    <xf numFmtId="0" fontId="0" fillId="0" borderId="75" xfId="0" applyBorder="1"/>
    <xf numFmtId="0" fontId="0" fillId="0" borderId="65" xfId="0" applyBorder="1"/>
    <xf numFmtId="0" fontId="56" fillId="12" borderId="0" xfId="0" applyFont="1" applyFill="1" applyAlignment="1">
      <alignment vertical="top"/>
    </xf>
    <xf numFmtId="0" fontId="57" fillId="0" borderId="0" xfId="0" applyFont="1"/>
    <xf numFmtId="0" fontId="0" fillId="11" borderId="48" xfId="0" applyFill="1" applyBorder="1" applyAlignment="1">
      <alignment horizontal="center" wrapText="1"/>
    </xf>
    <xf numFmtId="1" fontId="0" fillId="11" borderId="76" xfId="0" applyNumberFormat="1" applyFill="1" applyBorder="1" applyAlignment="1">
      <alignment horizontal="center" wrapText="1"/>
    </xf>
    <xf numFmtId="0" fontId="0" fillId="11" borderId="49" xfId="0" applyFill="1" applyBorder="1" applyAlignment="1">
      <alignment horizontal="center" wrapText="1"/>
    </xf>
    <xf numFmtId="1" fontId="0" fillId="11" borderId="33" xfId="0" applyNumberFormat="1" applyFill="1" applyBorder="1" applyAlignment="1">
      <alignment horizontal="center" wrapText="1"/>
    </xf>
    <xf numFmtId="0" fontId="58" fillId="5" borderId="0" xfId="0" applyFont="1" applyFill="1" applyAlignment="1">
      <alignment horizontal="center" wrapText="1"/>
    </xf>
    <xf numFmtId="1" fontId="58" fillId="5" borderId="0" xfId="0" applyNumberFormat="1" applyFont="1" applyFill="1" applyAlignment="1">
      <alignment horizontal="center" wrapText="1"/>
    </xf>
    <xf numFmtId="0" fontId="8" fillId="8" borderId="0" xfId="2" applyFont="1" applyFill="1" applyBorder="1" applyAlignment="1">
      <alignment vertical="center" wrapText="1"/>
    </xf>
    <xf numFmtId="0" fontId="8" fillId="0" borderId="0" xfId="2" applyFont="1" applyFill="1" applyBorder="1" applyAlignment="1">
      <alignment vertical="center" wrapText="1"/>
    </xf>
    <xf numFmtId="0" fontId="0" fillId="11" borderId="27" xfId="0" applyFill="1" applyBorder="1" applyAlignment="1">
      <alignment horizontal="left" vertical="center" wrapText="1"/>
    </xf>
    <xf numFmtId="0" fontId="0" fillId="11" borderId="19" xfId="0" applyFill="1" applyBorder="1" applyAlignment="1">
      <alignment horizontal="left" vertical="center" wrapText="1"/>
    </xf>
    <xf numFmtId="0" fontId="63" fillId="8" borderId="0" xfId="2" applyFont="1" applyFill="1" applyBorder="1" applyAlignment="1" applyProtection="1">
      <alignment vertical="center" wrapText="1"/>
    </xf>
    <xf numFmtId="0" fontId="0" fillId="11" borderId="133" xfId="0" applyFill="1" applyBorder="1" applyAlignment="1">
      <alignment horizontal="left" vertical="center" wrapText="1" indent="1"/>
    </xf>
    <xf numFmtId="1" fontId="21" fillId="0" borderId="101" xfId="0" applyNumberFormat="1" applyFont="1" applyBorder="1" applyAlignment="1" applyProtection="1">
      <alignment horizontal="left" vertical="center"/>
      <protection locked="0"/>
    </xf>
    <xf numFmtId="1" fontId="21" fillId="0" borderId="21" xfId="0" applyNumberFormat="1" applyFont="1" applyBorder="1" applyAlignment="1" applyProtection="1">
      <alignment horizontal="left" vertical="center"/>
      <protection locked="0"/>
    </xf>
    <xf numFmtId="1" fontId="21" fillId="0" borderId="102" xfId="0" applyNumberFormat="1" applyFont="1" applyBorder="1" applyAlignment="1" applyProtection="1">
      <alignment horizontal="left" vertical="center"/>
      <protection locked="0"/>
    </xf>
    <xf numFmtId="1" fontId="21" fillId="0" borderId="174" xfId="0" applyNumberFormat="1" applyFont="1" applyBorder="1" applyAlignment="1" applyProtection="1">
      <alignment horizontal="center"/>
      <protection locked="0"/>
    </xf>
    <xf numFmtId="1" fontId="21" fillId="0" borderId="166" xfId="0" applyNumberFormat="1" applyFont="1" applyBorder="1" applyAlignment="1" applyProtection="1">
      <alignment horizontal="center"/>
      <protection locked="0"/>
    </xf>
    <xf numFmtId="1" fontId="0" fillId="11" borderId="175" xfId="0" applyNumberFormat="1" applyFill="1" applyBorder="1" applyAlignment="1">
      <alignment horizontal="center" vertical="center" wrapText="1"/>
    </xf>
    <xf numFmtId="1" fontId="0" fillId="11" borderId="176" xfId="0" applyNumberFormat="1" applyFill="1" applyBorder="1" applyAlignment="1">
      <alignment horizontal="center" vertical="center" wrapText="1"/>
    </xf>
    <xf numFmtId="1" fontId="0" fillId="11" borderId="177" xfId="0" applyNumberFormat="1" applyFill="1" applyBorder="1" applyAlignment="1">
      <alignment horizontal="center" vertical="center" wrapText="1"/>
    </xf>
    <xf numFmtId="170" fontId="0" fillId="11" borderId="175" xfId="0" applyNumberFormat="1" applyFill="1" applyBorder="1" applyAlignment="1">
      <alignment vertical="center"/>
    </xf>
    <xf numFmtId="170" fontId="0" fillId="11" borderId="176" xfId="0" applyNumberFormat="1" applyFill="1" applyBorder="1" applyAlignment="1">
      <alignment vertical="center"/>
    </xf>
    <xf numFmtId="170" fontId="0" fillId="11" borderId="177" xfId="0" applyNumberFormat="1" applyFill="1" applyBorder="1" applyAlignment="1">
      <alignment vertical="center"/>
    </xf>
    <xf numFmtId="0" fontId="20" fillId="0" borderId="93" xfId="0" applyFont="1" applyBorder="1" applyAlignment="1" applyProtection="1">
      <alignment horizontal="center" vertical="center"/>
      <protection locked="0"/>
    </xf>
    <xf numFmtId="0" fontId="20" fillId="0" borderId="95" xfId="0" applyFont="1" applyBorder="1" applyAlignment="1" applyProtection="1">
      <alignment horizontal="center" vertical="center"/>
      <protection locked="0"/>
    </xf>
    <xf numFmtId="0" fontId="64" fillId="17" borderId="81" xfId="0" applyFont="1" applyFill="1" applyBorder="1" applyAlignment="1">
      <alignment vertical="top"/>
    </xf>
    <xf numFmtId="0" fontId="12" fillId="12" borderId="87" xfId="0" applyFont="1" applyFill="1" applyBorder="1" applyAlignment="1">
      <alignment horizontal="left" vertical="center" wrapText="1" indent="1"/>
    </xf>
    <xf numFmtId="0" fontId="12" fillId="11" borderId="88" xfId="0" applyFont="1" applyFill="1" applyBorder="1" applyAlignment="1">
      <alignment horizontal="left" vertical="center" wrapText="1" indent="1"/>
    </xf>
    <xf numFmtId="0" fontId="63" fillId="8" borderId="0" xfId="2" applyFont="1" applyFill="1" applyBorder="1" applyAlignment="1">
      <alignment vertical="center" wrapText="1"/>
    </xf>
    <xf numFmtId="0" fontId="9" fillId="9" borderId="11" xfId="4" applyFont="1" applyFill="1" applyBorder="1" applyAlignment="1">
      <alignment horizontal="center" vertical="center"/>
    </xf>
    <xf numFmtId="0" fontId="9" fillId="9" borderId="12" xfId="4" applyFont="1" applyFill="1" applyBorder="1" applyAlignment="1">
      <alignment horizontal="center" vertical="center"/>
    </xf>
    <xf numFmtId="0" fontId="9" fillId="9" borderId="13" xfId="4" applyFont="1" applyFill="1" applyBorder="1" applyAlignment="1">
      <alignment horizontal="center" vertical="center"/>
    </xf>
    <xf numFmtId="0" fontId="30" fillId="12" borderId="0" xfId="0" applyFont="1" applyFill="1" applyAlignment="1">
      <alignment horizontal="left" vertical="top" wrapText="1"/>
    </xf>
    <xf numFmtId="0" fontId="22" fillId="12" borderId="0" xfId="0" applyFont="1" applyFill="1" applyAlignment="1">
      <alignment horizontal="left" vertical="top" wrapText="1"/>
    </xf>
    <xf numFmtId="0" fontId="22" fillId="12" borderId="0" xfId="0" quotePrefix="1" applyFont="1" applyFill="1" applyAlignment="1">
      <alignment horizontal="left" vertical="top" wrapText="1"/>
    </xf>
    <xf numFmtId="0" fontId="63" fillId="8" borderId="0" xfId="2" applyFont="1" applyFill="1" applyBorder="1" applyAlignment="1">
      <alignment horizontal="left" vertical="center" wrapText="1"/>
    </xf>
    <xf numFmtId="0" fontId="7" fillId="9" borderId="2" xfId="4" applyFill="1" applyBorder="1" applyAlignment="1" applyProtection="1">
      <alignment horizontal="center" vertical="center" wrapText="1"/>
    </xf>
    <xf numFmtId="0" fontId="12" fillId="12" borderId="86" xfId="0" applyFont="1" applyFill="1" applyBorder="1" applyAlignment="1">
      <alignment horizontal="left" vertical="center" wrapText="1" indent="1"/>
    </xf>
    <xf numFmtId="0" fontId="12" fillId="12" borderId="88" xfId="0" applyFont="1" applyFill="1" applyBorder="1" applyAlignment="1">
      <alignment horizontal="left" vertical="center" wrapText="1" indent="1"/>
    </xf>
    <xf numFmtId="0" fontId="0" fillId="12" borderId="90" xfId="0" applyFill="1" applyBorder="1" applyAlignment="1">
      <alignment horizontal="center" vertical="center"/>
    </xf>
    <xf numFmtId="0" fontId="0" fillId="12" borderId="93" xfId="0" applyFill="1" applyBorder="1" applyAlignment="1">
      <alignment horizontal="center" vertical="center"/>
    </xf>
    <xf numFmtId="0" fontId="0" fillId="12" borderId="91" xfId="0" applyFill="1" applyBorder="1" applyAlignment="1">
      <alignment horizontal="center" vertical="center"/>
    </xf>
    <xf numFmtId="0" fontId="0" fillId="12" borderId="94" xfId="0" applyFill="1" applyBorder="1" applyAlignment="1">
      <alignment horizontal="center" vertical="center"/>
    </xf>
    <xf numFmtId="1" fontId="4" fillId="11" borderId="40" xfId="0" applyNumberFormat="1" applyFont="1" applyFill="1" applyBorder="1" applyAlignment="1">
      <alignment horizontal="center" vertical="center" wrapText="1"/>
    </xf>
    <xf numFmtId="1" fontId="4" fillId="11" borderId="78" xfId="0" applyNumberFormat="1" applyFont="1" applyFill="1" applyBorder="1" applyAlignment="1">
      <alignment horizontal="center" vertical="center" wrapText="1"/>
    </xf>
    <xf numFmtId="0" fontId="0" fillId="11" borderId="43" xfId="0" applyFill="1" applyBorder="1" applyAlignment="1">
      <alignment horizontal="center" vertical="center" wrapText="1"/>
    </xf>
    <xf numFmtId="0" fontId="0" fillId="11" borderId="46" xfId="0" applyFill="1" applyBorder="1" applyAlignment="1">
      <alignment horizontal="center" vertical="center" wrapText="1"/>
    </xf>
    <xf numFmtId="0" fontId="0" fillId="11" borderId="44" xfId="0" applyFill="1" applyBorder="1" applyAlignment="1">
      <alignment horizontal="center" vertical="center" wrapText="1"/>
    </xf>
    <xf numFmtId="0" fontId="0" fillId="11" borderId="47" xfId="0" applyFill="1" applyBorder="1" applyAlignment="1">
      <alignment horizontal="center" vertical="center" wrapText="1"/>
    </xf>
    <xf numFmtId="0" fontId="7" fillId="9" borderId="24" xfId="4" applyFill="1" applyBorder="1" applyAlignment="1" applyProtection="1">
      <alignment horizontal="center" vertical="center" wrapText="1"/>
    </xf>
    <xf numFmtId="0" fontId="7" fillId="9" borderId="25" xfId="4" applyFill="1" applyBorder="1" applyAlignment="1" applyProtection="1">
      <alignment horizontal="center" vertical="center" wrapText="1"/>
    </xf>
    <xf numFmtId="0" fontId="7" fillId="9" borderId="26" xfId="4" applyFill="1" applyBorder="1" applyAlignment="1" applyProtection="1">
      <alignment horizontal="center" vertical="center" wrapText="1"/>
    </xf>
    <xf numFmtId="0" fontId="21" fillId="14" borderId="55" xfId="0" applyFont="1" applyFill="1" applyBorder="1" applyAlignment="1" applyProtection="1">
      <alignment horizontal="center"/>
      <protection locked="0"/>
    </xf>
    <xf numFmtId="0" fontId="21" fillId="14" borderId="56" xfId="0" applyFont="1" applyFill="1" applyBorder="1" applyAlignment="1" applyProtection="1">
      <alignment horizontal="center"/>
      <protection locked="0"/>
    </xf>
    <xf numFmtId="0" fontId="0" fillId="11" borderId="51" xfId="0" applyFill="1" applyBorder="1" applyAlignment="1">
      <alignment horizontal="left" wrapText="1"/>
    </xf>
    <xf numFmtId="0" fontId="0" fillId="11" borderId="99" xfId="0" applyFill="1" applyBorder="1" applyAlignment="1">
      <alignment horizontal="left" wrapText="1"/>
    </xf>
    <xf numFmtId="0" fontId="0" fillId="11" borderId="52" xfId="0" applyFill="1" applyBorder="1" applyAlignment="1">
      <alignment horizontal="left" wrapText="1"/>
    </xf>
    <xf numFmtId="0" fontId="0" fillId="11" borderId="55" xfId="0" applyFill="1" applyBorder="1" applyAlignment="1">
      <alignment horizontal="left" wrapText="1"/>
    </xf>
    <xf numFmtId="0" fontId="0" fillId="11" borderId="100" xfId="0" applyFill="1" applyBorder="1" applyAlignment="1">
      <alignment horizontal="left" wrapText="1"/>
    </xf>
    <xf numFmtId="0" fontId="0" fillId="11" borderId="56" xfId="0" applyFill="1" applyBorder="1" applyAlignment="1">
      <alignment horizontal="left" wrapText="1"/>
    </xf>
    <xf numFmtId="0" fontId="7" fillId="9" borderId="40" xfId="4" applyFill="1" applyBorder="1" applyAlignment="1" applyProtection="1">
      <alignment horizontal="center" vertical="center" wrapText="1"/>
    </xf>
    <xf numFmtId="0" fontId="7" fillId="9" borderId="41" xfId="4" applyFill="1" applyBorder="1" applyAlignment="1" applyProtection="1">
      <alignment horizontal="center" vertical="center" wrapText="1"/>
    </xf>
    <xf numFmtId="0" fontId="0" fillId="11" borderId="137" xfId="0" applyFill="1" applyBorder="1" applyAlignment="1">
      <alignment horizontal="left" wrapText="1"/>
    </xf>
    <xf numFmtId="0" fontId="0" fillId="11" borderId="138" xfId="0" applyFill="1" applyBorder="1" applyAlignment="1">
      <alignment horizontal="left" wrapText="1"/>
    </xf>
    <xf numFmtId="0" fontId="0" fillId="11" borderId="139" xfId="0" applyFill="1" applyBorder="1" applyAlignment="1">
      <alignment horizontal="left" wrapText="1"/>
    </xf>
    <xf numFmtId="0" fontId="0" fillId="11" borderId="17" xfId="0" applyFill="1" applyBorder="1" applyAlignment="1">
      <alignment horizontal="center" vertical="top" wrapText="1"/>
    </xf>
    <xf numFmtId="0" fontId="0" fillId="11" borderId="18" xfId="0" applyFill="1" applyBorder="1" applyAlignment="1">
      <alignment horizontal="center" vertical="top" wrapText="1"/>
    </xf>
    <xf numFmtId="0" fontId="0" fillId="11" borderId="140" xfId="0" applyFill="1" applyBorder="1" applyAlignment="1">
      <alignment wrapText="1"/>
    </xf>
    <xf numFmtId="0" fontId="0" fillId="11" borderId="70" xfId="0" applyFill="1" applyBorder="1" applyAlignment="1">
      <alignment wrapText="1"/>
    </xf>
    <xf numFmtId="0" fontId="0" fillId="11" borderId="141" xfId="0" applyFill="1" applyBorder="1" applyAlignment="1">
      <alignment wrapText="1"/>
    </xf>
    <xf numFmtId="0" fontId="0" fillId="11" borderId="19" xfId="0" applyFill="1" applyBorder="1" applyAlignment="1">
      <alignment horizontal="center" wrapText="1"/>
    </xf>
    <xf numFmtId="0" fontId="0" fillId="11" borderId="20" xfId="0" applyFill="1" applyBorder="1" applyAlignment="1">
      <alignment horizontal="center" wrapText="1"/>
    </xf>
    <xf numFmtId="0" fontId="20" fillId="0" borderId="51" xfId="0" applyFont="1" applyBorder="1" applyAlignment="1" applyProtection="1">
      <alignment horizontal="center"/>
      <protection locked="0"/>
    </xf>
    <xf numFmtId="0" fontId="20" fillId="0" borderId="52" xfId="0" applyFont="1" applyBorder="1" applyAlignment="1" applyProtection="1">
      <alignment horizontal="center"/>
      <protection locked="0"/>
    </xf>
    <xf numFmtId="0" fontId="21" fillId="14" borderId="49" xfId="0" applyFont="1" applyFill="1" applyBorder="1" applyAlignment="1" applyProtection="1">
      <alignment horizontal="center"/>
      <protection locked="0"/>
    </xf>
    <xf numFmtId="0" fontId="9" fillId="9" borderId="11" xfId="4" applyFont="1" applyFill="1" applyBorder="1" applyAlignment="1" applyProtection="1">
      <alignment horizontal="center" vertical="center"/>
    </xf>
    <xf numFmtId="0" fontId="9" fillId="9" borderId="12" xfId="4" applyFont="1" applyFill="1" applyBorder="1" applyAlignment="1" applyProtection="1">
      <alignment horizontal="center" vertical="center"/>
    </xf>
    <xf numFmtId="0" fontId="9" fillId="9" borderId="77" xfId="4" applyFont="1" applyFill="1" applyBorder="1" applyAlignment="1" applyProtection="1">
      <alignment horizontal="center" vertical="center"/>
    </xf>
    <xf numFmtId="0" fontId="12" fillId="11" borderId="103" xfId="0" applyFont="1" applyFill="1" applyBorder="1" applyAlignment="1">
      <alignment horizontal="left" vertical="center" wrapText="1"/>
    </xf>
    <xf numFmtId="0" fontId="12" fillId="11" borderId="104" xfId="0" applyFont="1" applyFill="1" applyBorder="1" applyAlignment="1">
      <alignment horizontal="left" vertical="center" wrapText="1"/>
    </xf>
    <xf numFmtId="1" fontId="0" fillId="11" borderId="105" xfId="0" applyNumberFormat="1" applyFill="1" applyBorder="1" applyAlignment="1">
      <alignment horizontal="center" vertical="center" wrapText="1"/>
    </xf>
    <xf numFmtId="1" fontId="0" fillId="11" borderId="106" xfId="0" applyNumberFormat="1" applyFill="1" applyBorder="1" applyAlignment="1">
      <alignment horizontal="center" vertical="center" wrapText="1"/>
    </xf>
    <xf numFmtId="1" fontId="0" fillId="11" borderId="107" xfId="0" applyNumberFormat="1" applyFill="1" applyBorder="1" applyAlignment="1">
      <alignment horizontal="center" vertical="center" wrapText="1"/>
    </xf>
    <xf numFmtId="1" fontId="0" fillId="11" borderId="108" xfId="0" applyNumberFormat="1" applyFill="1" applyBorder="1" applyAlignment="1">
      <alignment horizontal="center" vertical="center" wrapText="1"/>
    </xf>
    <xf numFmtId="0" fontId="21" fillId="14" borderId="51" xfId="0" applyFont="1" applyFill="1" applyBorder="1" applyAlignment="1" applyProtection="1">
      <alignment horizontal="center"/>
      <protection locked="0"/>
    </xf>
    <xf numFmtId="0" fontId="21" fillId="14" borderId="52" xfId="0" applyFont="1" applyFill="1" applyBorder="1" applyAlignment="1" applyProtection="1">
      <alignment horizontal="center"/>
      <protection locked="0"/>
    </xf>
    <xf numFmtId="0" fontId="21" fillId="14" borderId="53" xfId="0" applyFont="1" applyFill="1" applyBorder="1" applyAlignment="1" applyProtection="1">
      <alignment horizontal="center"/>
      <protection locked="0"/>
    </xf>
    <xf numFmtId="0" fontId="21" fillId="14" borderId="54" xfId="0" applyFont="1" applyFill="1" applyBorder="1" applyAlignment="1" applyProtection="1">
      <alignment horizontal="center"/>
      <protection locked="0"/>
    </xf>
    <xf numFmtId="0" fontId="21" fillId="14" borderId="51" xfId="0" applyFont="1" applyFill="1" applyBorder="1" applyAlignment="1" applyProtection="1">
      <alignment horizontal="left"/>
      <protection locked="0"/>
    </xf>
    <xf numFmtId="0" fontId="21" fillId="14" borderId="52" xfId="0" applyFont="1" applyFill="1" applyBorder="1" applyAlignment="1" applyProtection="1">
      <alignment horizontal="left"/>
      <protection locked="0"/>
    </xf>
    <xf numFmtId="0" fontId="63" fillId="8" borderId="0" xfId="2" applyFont="1" applyFill="1" applyBorder="1" applyAlignment="1" applyProtection="1">
      <alignment horizontal="left" vertical="center" wrapText="1"/>
    </xf>
    <xf numFmtId="0" fontId="20" fillId="0" borderId="24" xfId="0" applyFont="1" applyBorder="1" applyAlignment="1" applyProtection="1">
      <alignment horizontal="left" vertical="center" wrapText="1"/>
      <protection locked="0"/>
    </xf>
    <xf numFmtId="0" fontId="20" fillId="0" borderId="25" xfId="0" applyFont="1" applyBorder="1" applyAlignment="1" applyProtection="1">
      <alignment horizontal="left" vertical="center" wrapText="1"/>
      <protection locked="0"/>
    </xf>
    <xf numFmtId="0" fontId="20" fillId="0" borderId="26" xfId="0" applyFont="1" applyBorder="1" applyAlignment="1" applyProtection="1">
      <alignment horizontal="left" vertical="center" wrapText="1"/>
      <protection locked="0"/>
    </xf>
    <xf numFmtId="0" fontId="0" fillId="11" borderId="42" xfId="0" applyFill="1" applyBorder="1" applyAlignment="1">
      <alignment horizontal="center" vertical="center" wrapText="1"/>
    </xf>
    <xf numFmtId="0" fontId="0" fillId="11" borderId="45" xfId="0" applyFill="1" applyBorder="1" applyAlignment="1">
      <alignment horizontal="center" vertical="center" wrapText="1"/>
    </xf>
    <xf numFmtId="0" fontId="12" fillId="12" borderId="92" xfId="0" applyFont="1" applyFill="1" applyBorder="1" applyAlignment="1">
      <alignment horizontal="center" vertical="center"/>
    </xf>
    <xf numFmtId="0" fontId="12" fillId="12" borderId="95" xfId="0" applyFont="1" applyFill="1" applyBorder="1" applyAlignment="1">
      <alignment horizontal="center" vertical="center"/>
    </xf>
    <xf numFmtId="0" fontId="7" fillId="9" borderId="78" xfId="4" applyFill="1" applyBorder="1" applyAlignment="1" applyProtection="1">
      <alignment horizontal="center" vertical="center" wrapText="1"/>
    </xf>
    <xf numFmtId="0" fontId="21" fillId="14" borderId="57" xfId="0" applyFont="1" applyFill="1" applyBorder="1" applyAlignment="1" applyProtection="1">
      <alignment horizontal="center"/>
      <protection locked="0"/>
    </xf>
    <xf numFmtId="0" fontId="21" fillId="14" borderId="48" xfId="0" applyFont="1" applyFill="1" applyBorder="1" applyAlignment="1" applyProtection="1">
      <alignment horizontal="left"/>
      <protection locked="0"/>
    </xf>
    <xf numFmtId="1" fontId="0" fillId="11" borderId="109" xfId="0" applyNumberFormat="1" applyFill="1" applyBorder="1" applyAlignment="1">
      <alignment horizontal="center" vertical="center" wrapText="1"/>
    </xf>
    <xf numFmtId="1" fontId="0" fillId="11" borderId="110" xfId="0" applyNumberFormat="1" applyFill="1" applyBorder="1" applyAlignment="1">
      <alignment horizontal="center" vertical="center" wrapText="1"/>
    </xf>
    <xf numFmtId="0" fontId="9" fillId="9" borderId="14" xfId="4" applyFont="1" applyFill="1" applyBorder="1" applyAlignment="1" applyProtection="1">
      <alignment horizontal="center" vertical="center" wrapText="1"/>
    </xf>
    <xf numFmtId="0" fontId="9" fillId="9" borderId="15" xfId="4" applyFont="1" applyFill="1" applyBorder="1" applyAlignment="1" applyProtection="1">
      <alignment horizontal="center" vertical="center" wrapText="1"/>
    </xf>
    <xf numFmtId="0" fontId="9" fillId="9" borderId="16" xfId="4" applyFont="1" applyFill="1" applyBorder="1" applyAlignment="1" applyProtection="1">
      <alignment horizontal="center" vertical="center" wrapText="1"/>
    </xf>
    <xf numFmtId="0" fontId="7" fillId="9" borderId="9" xfId="4" applyFill="1" applyBorder="1" applyAlignment="1" applyProtection="1">
      <alignment horizontal="center" vertical="center" wrapText="1"/>
    </xf>
    <xf numFmtId="0" fontId="7" fillId="9" borderId="3" xfId="4" applyFill="1" applyBorder="1" applyAlignment="1" applyProtection="1">
      <alignment horizontal="center" vertical="center" wrapText="1"/>
    </xf>
    <xf numFmtId="0" fontId="7" fillId="9" borderId="10" xfId="4" applyFill="1" applyBorder="1" applyAlignment="1" applyProtection="1">
      <alignment horizontal="center" vertical="center" wrapText="1"/>
    </xf>
    <xf numFmtId="0" fontId="36" fillId="5" borderId="0" xfId="0" applyFont="1" applyFill="1" applyAlignment="1">
      <alignment horizontal="left" vertical="center" wrapText="1"/>
    </xf>
    <xf numFmtId="0" fontId="40" fillId="5" borderId="0" xfId="0" applyFont="1" applyFill="1" applyAlignment="1">
      <alignment horizontal="left" vertical="center" wrapText="1"/>
    </xf>
    <xf numFmtId="0" fontId="0" fillId="5" borderId="0" xfId="0" applyFill="1" applyAlignment="1">
      <alignment horizontal="center"/>
    </xf>
    <xf numFmtId="0" fontId="0" fillId="11" borderId="165" xfId="0" applyFill="1" applyBorder="1" applyAlignment="1">
      <alignment horizontal="center"/>
    </xf>
    <xf numFmtId="0" fontId="0" fillId="11" borderId="131" xfId="0" applyFill="1" applyBorder="1" applyAlignment="1">
      <alignment horizontal="center"/>
    </xf>
    <xf numFmtId="0" fontId="0" fillId="11" borderId="137" xfId="0" applyFill="1" applyBorder="1" applyAlignment="1">
      <alignment horizontal="right"/>
    </xf>
    <xf numFmtId="0" fontId="0" fillId="11" borderId="138" xfId="0" applyFill="1" applyBorder="1" applyAlignment="1">
      <alignment horizontal="right"/>
    </xf>
    <xf numFmtId="0" fontId="0" fillId="11" borderId="172" xfId="0" applyFill="1" applyBorder="1" applyAlignment="1">
      <alignment horizontal="right"/>
    </xf>
    <xf numFmtId="0" fontId="0" fillId="11" borderId="69" xfId="0" applyFill="1" applyBorder="1" applyAlignment="1">
      <alignment horizontal="right"/>
    </xf>
    <xf numFmtId="0" fontId="0" fillId="11" borderId="140" xfId="0" applyFill="1" applyBorder="1" applyAlignment="1">
      <alignment horizontal="right"/>
    </xf>
    <xf numFmtId="0" fontId="0" fillId="11" borderId="70" xfId="0" applyFill="1" applyBorder="1" applyAlignment="1">
      <alignment horizontal="right"/>
    </xf>
    <xf numFmtId="0" fontId="0" fillId="5" borderId="0" xfId="0" applyFill="1" applyAlignment="1">
      <alignment horizontal="left" vertical="top" wrapText="1"/>
    </xf>
  </cellXfs>
  <cellStyles count="7">
    <cellStyle name="60 % - Accent5" xfId="5" builtinId="48"/>
    <cellStyle name="Accent5" xfId="4" builtinId="45"/>
    <cellStyle name="Lien hypertexte" xfId="3" builtinId="8"/>
    <cellStyle name="Milliers" xfId="1" builtinId="3"/>
    <cellStyle name="Normal" xfId="0" builtinId="0"/>
    <cellStyle name="Pourcentage" xfId="6" builtinId="5"/>
    <cellStyle name="Titre 1" xfId="2" builtinId="16"/>
  </cellStyles>
  <dxfs count="15">
    <dxf>
      <font>
        <color rgb="FFE7FAFC"/>
      </font>
    </dxf>
    <dxf>
      <font>
        <color rgb="FFE7FAFC"/>
      </font>
    </dxf>
    <dxf>
      <font>
        <color rgb="FFE7FAFC"/>
      </font>
    </dxf>
    <dxf>
      <font>
        <color rgb="FFE7FAFC"/>
      </font>
    </dxf>
    <dxf>
      <font>
        <color rgb="FFE7FAFC"/>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color theme="2" tint="-9.9948118533890809E-2"/>
      </font>
      <fill>
        <patternFill>
          <bgColor theme="2"/>
        </patternFill>
      </fill>
    </dxf>
    <dxf>
      <font>
        <strike val="0"/>
        <color theme="2" tint="-9.9948118533890809E-2"/>
      </font>
      <fill>
        <patternFill>
          <bgColor theme="2"/>
        </patternFill>
      </fill>
    </dxf>
    <dxf>
      <font>
        <strike val="0"/>
        <color theme="2" tint="-9.9948118533890809E-2"/>
      </font>
      <fill>
        <patternFill>
          <bgColor theme="2"/>
        </patternFill>
      </fill>
    </dxf>
    <dxf>
      <font>
        <strike val="0"/>
        <color theme="2"/>
      </font>
      <fill>
        <patternFill>
          <bgColor theme="2"/>
        </patternFill>
      </fill>
    </dxf>
    <dxf>
      <font>
        <strike val="0"/>
        <color theme="2"/>
      </font>
      <fill>
        <patternFill>
          <bgColor theme="2"/>
        </patternFill>
      </fill>
    </dxf>
  </dxfs>
  <tableStyles count="0" defaultTableStyle="TableStyleMedium2" defaultPivotStyle="PivotStyleLight16"/>
  <colors>
    <mruColors>
      <color rgb="FF363A42"/>
      <color rgb="FF1FB7C6"/>
      <color rgb="FFE7FAFC"/>
      <color rgb="FFE1E3E6"/>
      <color rgb="FFE7E6E6"/>
      <color rgb="FF0B89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ode d''emploi'!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 Donn&#233;es logistiques'!A1"/></Relationships>
</file>

<file path=xl/drawings/_rels/drawing3.xml.rels><?xml version="1.0" encoding="UTF-8" standalone="yes"?>
<Relationships xmlns="http://schemas.openxmlformats.org/package/2006/relationships"><Relationship Id="rId3" Type="http://schemas.openxmlformats.org/officeDocument/2006/relationships/hyperlink" Target="#'Mode d''emploi'!A1"/><Relationship Id="rId2" Type="http://schemas.openxmlformats.org/officeDocument/2006/relationships/hyperlink" Target="#'2. Estim. Co&#251;ts Infra. Techn.'!A1"/><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1.png"/><Relationship Id="rId1" Type="http://schemas.openxmlformats.org/officeDocument/2006/relationships/hyperlink" Target="#'1. Donn&#233;es logistiques'!A1"/><Relationship Id="rId4" Type="http://schemas.openxmlformats.org/officeDocument/2006/relationships/hyperlink" Target="#'Mode d''emploi'!A1"/></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2</xdr:col>
      <xdr:colOff>873370</xdr:colOff>
      <xdr:row>1</xdr:row>
      <xdr:rowOff>133351</xdr:rowOff>
    </xdr:from>
    <xdr:to>
      <xdr:col>3</xdr:col>
      <xdr:colOff>1543701</xdr:colOff>
      <xdr:row>1</xdr:row>
      <xdr:rowOff>504826</xdr:rowOff>
    </xdr:to>
    <xdr:sp macro="" textlink="">
      <xdr:nvSpPr>
        <xdr:cNvPr id="9" name="Rectangle : coins arrondis 8">
          <a:hlinkClick xmlns:r="http://schemas.openxmlformats.org/officeDocument/2006/relationships" r:id="rId1"/>
          <a:extLst>
            <a:ext uri="{FF2B5EF4-FFF2-40B4-BE49-F238E27FC236}">
              <a16:creationId xmlns:a16="http://schemas.microsoft.com/office/drawing/2014/main" id="{8AD16307-B131-9E47-B8AC-42E7C94EF5B6}"/>
            </a:ext>
          </a:extLst>
        </xdr:cNvPr>
        <xdr:cNvSpPr/>
      </xdr:nvSpPr>
      <xdr:spPr>
        <a:xfrm>
          <a:off x="5159620" y="971551"/>
          <a:ext cx="2270531" cy="371475"/>
        </a:xfrm>
        <a:prstGeom prst="roundRect">
          <a:avLst>
            <a:gd name="adj" fmla="val 50000"/>
          </a:avLst>
        </a:prstGeom>
        <a:solidFill>
          <a:srgbClr val="1FB7C6"/>
        </a:solidFill>
        <a:ln>
          <a:noFill/>
        </a:ln>
        <a:effectLst/>
        <a:scene3d>
          <a:camera prst="orthographicFront"/>
          <a:lightRig rig="balanced" dir="t"/>
        </a:scene3d>
        <a:sp3d>
          <a:bevelB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CH" sz="1400"/>
            <a:t>Vers</a:t>
          </a:r>
          <a:r>
            <a:rPr lang="fr-CH" sz="1400" baseline="0"/>
            <a:t> </a:t>
          </a:r>
          <a:r>
            <a:rPr lang="fr-CH" sz="1400" i="1" baseline="0"/>
            <a:t>Mode d'emploi</a:t>
          </a:r>
          <a:endParaRPr lang="fr-CH" sz="1400" i="1"/>
        </a:p>
      </xdr:txBody>
    </xdr:sp>
    <xdr:clientData/>
  </xdr:twoCellAnchor>
  <xdr:twoCellAnchor editAs="oneCell">
    <xdr:from>
      <xdr:col>1</xdr:col>
      <xdr:colOff>12700</xdr:colOff>
      <xdr:row>0</xdr:row>
      <xdr:rowOff>101600</xdr:rowOff>
    </xdr:from>
    <xdr:to>
      <xdr:col>1</xdr:col>
      <xdr:colOff>1358900</xdr:colOff>
      <xdr:row>0</xdr:row>
      <xdr:rowOff>769667</xdr:rowOff>
    </xdr:to>
    <xdr:pic>
      <xdr:nvPicPr>
        <xdr:cNvPr id="10" name="Image 9">
          <a:extLst>
            <a:ext uri="{FF2B5EF4-FFF2-40B4-BE49-F238E27FC236}">
              <a16:creationId xmlns:a16="http://schemas.microsoft.com/office/drawing/2014/main" id="{3E7CDAB4-8419-D041-90B5-0654A3BDBFF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 y="101600"/>
          <a:ext cx="1346200" cy="6744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3400425</xdr:colOff>
      <xdr:row>1</xdr:row>
      <xdr:rowOff>180975</xdr:rowOff>
    </xdr:from>
    <xdr:to>
      <xdr:col>4</xdr:col>
      <xdr:colOff>200025</xdr:colOff>
      <xdr:row>1</xdr:row>
      <xdr:rowOff>552450</xdr:rowOff>
    </xdr:to>
    <xdr:sp macro="" textlink="">
      <xdr:nvSpPr>
        <xdr:cNvPr id="11" name="Rectangle : coins arrondis 1">
          <a:hlinkClick xmlns:r="http://schemas.openxmlformats.org/officeDocument/2006/relationships" r:id="rId1"/>
          <a:extLst>
            <a:ext uri="{FF2B5EF4-FFF2-40B4-BE49-F238E27FC236}">
              <a16:creationId xmlns:a16="http://schemas.microsoft.com/office/drawing/2014/main" id="{EE7401F0-882D-4DB7-83DA-7BEF0CCDC478}"/>
            </a:ext>
          </a:extLst>
        </xdr:cNvPr>
        <xdr:cNvSpPr/>
      </xdr:nvSpPr>
      <xdr:spPr>
        <a:xfrm>
          <a:off x="3895725" y="1019175"/>
          <a:ext cx="3924300" cy="371475"/>
        </a:xfrm>
        <a:prstGeom prst="roundRect">
          <a:avLst>
            <a:gd name="adj" fmla="val 50000"/>
          </a:avLst>
        </a:prstGeom>
        <a:solidFill>
          <a:srgbClr val="1FB7C6"/>
        </a:solidFill>
        <a:ln>
          <a:noFill/>
        </a:ln>
        <a:effectLst/>
        <a:scene3d>
          <a:camera prst="orthographicFront"/>
          <a:lightRig rig="balanced" dir="t"/>
        </a:scene3d>
        <a:sp3d>
          <a:bevelB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CH" sz="1400"/>
            <a:t>Vers</a:t>
          </a:r>
          <a:r>
            <a:rPr lang="fr-CH" sz="1400" baseline="0"/>
            <a:t> </a:t>
          </a:r>
          <a:r>
            <a:rPr lang="fr-CH" sz="1400" i="1" baseline="0"/>
            <a:t>1. Données logistiques et organisationnelles</a:t>
          </a:r>
          <a:endParaRPr lang="fr-CH" sz="1400" i="1"/>
        </a:p>
      </xdr:txBody>
    </xdr:sp>
    <xdr:clientData/>
  </xdr:twoCellAnchor>
  <xdr:twoCellAnchor editAs="oneCell">
    <xdr:from>
      <xdr:col>1</xdr:col>
      <xdr:colOff>12700</xdr:colOff>
      <xdr:row>0</xdr:row>
      <xdr:rowOff>101600</xdr:rowOff>
    </xdr:from>
    <xdr:to>
      <xdr:col>1</xdr:col>
      <xdr:colOff>1358900</xdr:colOff>
      <xdr:row>0</xdr:row>
      <xdr:rowOff>769667</xdr:rowOff>
    </xdr:to>
    <xdr:pic>
      <xdr:nvPicPr>
        <xdr:cNvPr id="3" name="Image 2">
          <a:extLst>
            <a:ext uri="{FF2B5EF4-FFF2-40B4-BE49-F238E27FC236}">
              <a16:creationId xmlns:a16="http://schemas.microsoft.com/office/drawing/2014/main" id="{D3CCB2A1-E6EE-422B-A553-681280E0E98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3875" y="104775"/>
          <a:ext cx="1349375" cy="664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12700</xdr:colOff>
      <xdr:row>0</xdr:row>
      <xdr:rowOff>84675</xdr:rowOff>
    </xdr:from>
    <xdr:to>
      <xdr:col>1</xdr:col>
      <xdr:colOff>1354667</xdr:colOff>
      <xdr:row>0</xdr:row>
      <xdr:rowOff>772592</xdr:rowOff>
    </xdr:to>
    <xdr:pic>
      <xdr:nvPicPr>
        <xdr:cNvPr id="3" name="Image 2">
          <a:extLst>
            <a:ext uri="{FF2B5EF4-FFF2-40B4-BE49-F238E27FC236}">
              <a16:creationId xmlns:a16="http://schemas.microsoft.com/office/drawing/2014/main" id="{0FBE4AB2-3625-A54B-BFBB-F59E81CA67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0783" y="84675"/>
          <a:ext cx="1341967" cy="6815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342900</xdr:colOff>
      <xdr:row>1</xdr:row>
      <xdr:rowOff>177800</xdr:rowOff>
    </xdr:from>
    <xdr:to>
      <xdr:col>17</xdr:col>
      <xdr:colOff>2115</xdr:colOff>
      <xdr:row>1</xdr:row>
      <xdr:rowOff>539750</xdr:rowOff>
    </xdr:to>
    <xdr:sp macro="" textlink="">
      <xdr:nvSpPr>
        <xdr:cNvPr id="4" name="Rectangle : coins arrondis 3">
          <a:hlinkClick xmlns:r="http://schemas.openxmlformats.org/officeDocument/2006/relationships" r:id="rId2"/>
          <a:extLst>
            <a:ext uri="{FF2B5EF4-FFF2-40B4-BE49-F238E27FC236}">
              <a16:creationId xmlns:a16="http://schemas.microsoft.com/office/drawing/2014/main" id="{0C516590-1B8B-8E45-A689-26895B5EB5A0}"/>
            </a:ext>
          </a:extLst>
        </xdr:cNvPr>
        <xdr:cNvSpPr/>
      </xdr:nvSpPr>
      <xdr:spPr>
        <a:xfrm>
          <a:off x="8204200" y="1066800"/>
          <a:ext cx="6021915" cy="361950"/>
        </a:xfrm>
        <a:prstGeom prst="roundRect">
          <a:avLst>
            <a:gd name="adj" fmla="val 50000"/>
          </a:avLst>
        </a:prstGeom>
        <a:solidFill>
          <a:srgbClr val="1FB7C6"/>
        </a:solid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CH" sz="1400"/>
            <a:t>Vers </a:t>
          </a:r>
          <a:r>
            <a:rPr lang="fr-CH" sz="1400" i="1"/>
            <a:t>2. Estimation des coûts de</a:t>
          </a:r>
          <a:r>
            <a:rPr lang="fr-CH" sz="1400" i="1" baseline="0"/>
            <a:t> l'i</a:t>
          </a:r>
          <a:r>
            <a:rPr lang="fr-CH" sz="1400" i="1"/>
            <a:t>nfrastructure technique</a:t>
          </a:r>
        </a:p>
      </xdr:txBody>
    </xdr:sp>
    <xdr:clientData/>
  </xdr:twoCellAnchor>
  <xdr:twoCellAnchor>
    <xdr:from>
      <xdr:col>6</xdr:col>
      <xdr:colOff>625078</xdr:colOff>
      <xdr:row>1</xdr:row>
      <xdr:rowOff>178593</xdr:rowOff>
    </xdr:from>
    <xdr:to>
      <xdr:col>10</xdr:col>
      <xdr:colOff>253216</xdr:colOff>
      <xdr:row>1</xdr:row>
      <xdr:rowOff>550068</xdr:rowOff>
    </xdr:to>
    <xdr:sp macro="" textlink="">
      <xdr:nvSpPr>
        <xdr:cNvPr id="2" name="Rectangle : coins arrondis 1">
          <a:hlinkClick xmlns:r="http://schemas.openxmlformats.org/officeDocument/2006/relationships" r:id="rId3"/>
          <a:extLst>
            <a:ext uri="{FF2B5EF4-FFF2-40B4-BE49-F238E27FC236}">
              <a16:creationId xmlns:a16="http://schemas.microsoft.com/office/drawing/2014/main" id="{EC457B17-4592-4F8D-AB6F-CBDB2EF98A6D}"/>
            </a:ext>
          </a:extLst>
        </xdr:cNvPr>
        <xdr:cNvSpPr/>
      </xdr:nvSpPr>
      <xdr:spPr>
        <a:xfrm>
          <a:off x="5015508" y="1071562"/>
          <a:ext cx="2426106" cy="371475"/>
        </a:xfrm>
        <a:prstGeom prst="roundRect">
          <a:avLst>
            <a:gd name="adj" fmla="val 50000"/>
          </a:avLst>
        </a:prstGeom>
        <a:solidFill>
          <a:srgbClr val="1FB7C6"/>
        </a:solidFill>
        <a:ln>
          <a:noFill/>
        </a:ln>
        <a:effectLst/>
        <a:scene3d>
          <a:camera prst="orthographicFront"/>
          <a:lightRig rig="balanced" dir="t"/>
        </a:scene3d>
        <a:sp3d>
          <a:bevelB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CH" sz="1400"/>
            <a:t>Vers</a:t>
          </a:r>
          <a:r>
            <a:rPr lang="fr-CH" sz="1400" baseline="0"/>
            <a:t> </a:t>
          </a:r>
          <a:r>
            <a:rPr lang="fr-CH" sz="1400" i="1" baseline="0"/>
            <a:t>Mode d'emploi</a:t>
          </a:r>
          <a:endParaRPr lang="fr-CH" sz="1400" i="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181785</xdr:colOff>
      <xdr:row>1</xdr:row>
      <xdr:rowOff>174625</xdr:rowOff>
    </xdr:from>
    <xdr:to>
      <xdr:col>10</xdr:col>
      <xdr:colOff>180973</xdr:colOff>
      <xdr:row>1</xdr:row>
      <xdr:rowOff>536575</xdr:rowOff>
    </xdr:to>
    <xdr:sp macro="" textlink="">
      <xdr:nvSpPr>
        <xdr:cNvPr id="2" name="Rectangle : coins arrondis 1">
          <a:hlinkClick xmlns:r="http://schemas.openxmlformats.org/officeDocument/2006/relationships" r:id="rId1"/>
          <a:extLst>
            <a:ext uri="{FF2B5EF4-FFF2-40B4-BE49-F238E27FC236}">
              <a16:creationId xmlns:a16="http://schemas.microsoft.com/office/drawing/2014/main" id="{79089BD6-4C8E-472E-A3A0-1F00B567955A}"/>
            </a:ext>
          </a:extLst>
        </xdr:cNvPr>
        <xdr:cNvSpPr/>
      </xdr:nvSpPr>
      <xdr:spPr>
        <a:xfrm>
          <a:off x="7962977" y="1009894"/>
          <a:ext cx="4688419" cy="361950"/>
        </a:xfrm>
        <a:prstGeom prst="roundRect">
          <a:avLst>
            <a:gd name="adj" fmla="val 50000"/>
          </a:avLst>
        </a:prstGeom>
        <a:solidFill>
          <a:srgbClr val="1FB7C6"/>
        </a:solid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CH" sz="1400"/>
            <a:t>Vers </a:t>
          </a:r>
          <a:r>
            <a:rPr lang="fr-CH" sz="1400" i="1"/>
            <a:t>1. Données logistiques et organisationnelles</a:t>
          </a:r>
        </a:p>
      </xdr:txBody>
    </xdr:sp>
    <xdr:clientData/>
  </xdr:twoCellAnchor>
  <xdr:twoCellAnchor editAs="oneCell">
    <xdr:from>
      <xdr:col>1</xdr:col>
      <xdr:colOff>12700</xdr:colOff>
      <xdr:row>0</xdr:row>
      <xdr:rowOff>101600</xdr:rowOff>
    </xdr:from>
    <xdr:to>
      <xdr:col>1</xdr:col>
      <xdr:colOff>1362075</xdr:colOff>
      <xdr:row>0</xdr:row>
      <xdr:rowOff>772842</xdr:rowOff>
    </xdr:to>
    <xdr:pic>
      <xdr:nvPicPr>
        <xdr:cNvPr id="4" name="Image 3">
          <a:extLst>
            <a:ext uri="{FF2B5EF4-FFF2-40B4-BE49-F238E27FC236}">
              <a16:creationId xmlns:a16="http://schemas.microsoft.com/office/drawing/2014/main" id="{7ED62D3A-9D93-3F47-B320-F8D1FEE0D3D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9400" y="101600"/>
          <a:ext cx="1346200" cy="6744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xdr:col>
          <xdr:colOff>0</xdr:colOff>
          <xdr:row>37</xdr:row>
          <xdr:rowOff>12700</xdr:rowOff>
        </xdr:from>
        <xdr:to>
          <xdr:col>7</xdr:col>
          <xdr:colOff>571500</xdr:colOff>
          <xdr:row>45</xdr:row>
          <xdr:rowOff>85725</xdr:rowOff>
        </xdr:to>
        <xdr:pic>
          <xdr:nvPicPr>
            <xdr:cNvPr id="7" name="Image 6">
              <a:extLst>
                <a:ext uri="{FF2B5EF4-FFF2-40B4-BE49-F238E27FC236}">
                  <a16:creationId xmlns:a16="http://schemas.microsoft.com/office/drawing/2014/main" id="{E14FC91D-5959-407B-8B88-1CF4DBF210BF}"/>
                </a:ext>
              </a:extLst>
            </xdr:cNvPr>
            <xdr:cNvPicPr>
              <a:picLocks noChangeAspect="1" noChangeArrowheads="1"/>
              <a:extLst>
                <a:ext uri="{84589F7E-364E-4C9E-8A38-B11213B215E9}">
                  <a14:cameraTool cellRange="'2. Estim. Coûts Infra. Techn.'!$AO$57:$AW$63" spid="_x0000_s102912"/>
                </a:ext>
              </a:extLst>
            </xdr:cNvPicPr>
          </xdr:nvPicPr>
          <xdr:blipFill>
            <a:blip xmlns:r="http://schemas.openxmlformats.org/officeDocument/2006/relationships" r:embed="rId3"/>
            <a:srcRect/>
            <a:stretch>
              <a:fillRect/>
            </a:stretch>
          </xdr:blipFill>
          <xdr:spPr bwMode="auto">
            <a:xfrm>
              <a:off x="431800" y="8826500"/>
              <a:ext cx="10706100" cy="160020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2</xdr:col>
      <xdr:colOff>436440</xdr:colOff>
      <xdr:row>1</xdr:row>
      <xdr:rowOff>179022</xdr:rowOff>
    </xdr:from>
    <xdr:to>
      <xdr:col>5</xdr:col>
      <xdr:colOff>70012</xdr:colOff>
      <xdr:row>1</xdr:row>
      <xdr:rowOff>544147</xdr:rowOff>
    </xdr:to>
    <xdr:sp macro="" textlink="">
      <xdr:nvSpPr>
        <xdr:cNvPr id="3" name="Rectangle : coins arrondis 2">
          <a:hlinkClick xmlns:r="http://schemas.openxmlformats.org/officeDocument/2006/relationships" r:id="rId4"/>
          <a:extLst>
            <a:ext uri="{FF2B5EF4-FFF2-40B4-BE49-F238E27FC236}">
              <a16:creationId xmlns:a16="http://schemas.microsoft.com/office/drawing/2014/main" id="{F78BDBBA-4CAA-4437-AEA1-42C52ECB6232}"/>
            </a:ext>
          </a:extLst>
        </xdr:cNvPr>
        <xdr:cNvSpPr/>
      </xdr:nvSpPr>
      <xdr:spPr>
        <a:xfrm>
          <a:off x="5418748" y="1014291"/>
          <a:ext cx="2432456" cy="365125"/>
        </a:xfrm>
        <a:prstGeom prst="roundRect">
          <a:avLst>
            <a:gd name="adj" fmla="val 50000"/>
          </a:avLst>
        </a:prstGeom>
        <a:solidFill>
          <a:srgbClr val="1FB7C6"/>
        </a:solidFill>
        <a:ln>
          <a:noFill/>
        </a:ln>
        <a:effectLst/>
        <a:scene3d>
          <a:camera prst="orthographicFront"/>
          <a:lightRig rig="balanced" dir="t"/>
        </a:scene3d>
        <a:sp3d>
          <a:bevelB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CH" sz="1400"/>
            <a:t>Vers</a:t>
          </a:r>
          <a:r>
            <a:rPr lang="fr-CH" sz="1400" baseline="0"/>
            <a:t> </a:t>
          </a:r>
          <a:r>
            <a:rPr lang="fr-CH" sz="1400" i="1" baseline="0"/>
            <a:t>Mode d'emploi</a:t>
          </a:r>
          <a:endParaRPr lang="fr-CH" sz="1400" i="1"/>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0</xdr:colOff>
      <xdr:row>5</xdr:row>
      <xdr:rowOff>0</xdr:rowOff>
    </xdr:from>
    <xdr:to>
      <xdr:col>17</xdr:col>
      <xdr:colOff>342900</xdr:colOff>
      <xdr:row>34</xdr:row>
      <xdr:rowOff>35880</xdr:rowOff>
    </xdr:to>
    <xdr:pic>
      <xdr:nvPicPr>
        <xdr:cNvPr id="2" name="Image 1">
          <a:extLst>
            <a:ext uri="{FF2B5EF4-FFF2-40B4-BE49-F238E27FC236}">
              <a16:creationId xmlns:a16="http://schemas.microsoft.com/office/drawing/2014/main" id="{AE677420-FB48-BD4F-9CEE-B4EE240050A8}"/>
            </a:ext>
          </a:extLst>
        </xdr:cNvPr>
        <xdr:cNvPicPr>
          <a:picLocks noChangeAspect="1"/>
        </xdr:cNvPicPr>
      </xdr:nvPicPr>
      <xdr:blipFill>
        <a:blip xmlns:r="http://schemas.openxmlformats.org/officeDocument/2006/relationships" r:embed="rId1"/>
        <a:stretch>
          <a:fillRect/>
        </a:stretch>
      </xdr:blipFill>
      <xdr:spPr>
        <a:xfrm>
          <a:off x="6604000" y="1003300"/>
          <a:ext cx="7772400" cy="5664097"/>
        </a:xfrm>
        <a:prstGeom prst="rect">
          <a:avLst/>
        </a:prstGeom>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5" Type="http://schemas.openxmlformats.org/officeDocument/2006/relationships/vmlDrawing" Target="../drawings/vmlDrawing2.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hyperlink" Target="https://www.bechtle.com/ch-fr/shop/appliance-sonicwall-tz370--4523400-40--p" TargetMode="External"/><Relationship Id="rId7"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hyperlink" Target="https://www.bechtle.com/ch-fr/shop/casque-kensington-usb-c-hifi--4529114--p" TargetMode="External"/><Relationship Id="rId5" Type="http://schemas.openxmlformats.org/officeDocument/2006/relationships/hyperlink" Target="https://www.bechtle.com/ch-fr/finder/type-de-produit--station-d-accueil/prix--158--665?query=docking+&amp;sorting=p_asc" TargetMode="External"/><Relationship Id="rId4" Type="http://schemas.openxmlformats.org/officeDocument/2006/relationships/hyperlink" Target="https://www.bechtle.com/ch-fr/shop/micro-casque-pc-bureau-hama-hs-p100--4071108--p"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dicota.com/euro_en/ladetrolley-fur-20-tablets-oder-ultrabooks-ch.html" TargetMode="External"/><Relationship Id="rId7" Type="http://schemas.openxmlformats.org/officeDocument/2006/relationships/comments" Target="../comments2.xml"/><Relationship Id="rId2" Type="http://schemas.openxmlformats.org/officeDocument/2006/relationships/hyperlink" Target="https://www.dicota.com/euro_en/ladetrolley-fur-14-laptops-ch.html" TargetMode="External"/><Relationship Id="rId1" Type="http://schemas.openxmlformats.org/officeDocument/2006/relationships/hyperlink" Target="https://www.bechtle.com/ch-fr/shop/chariot-charge-dicota-14-tablettes-plus--4809683--p" TargetMode="External"/><Relationship Id="rId6" Type="http://schemas.openxmlformats.org/officeDocument/2006/relationships/vmlDrawing" Target="../drawings/vmlDrawing3.vml"/><Relationship Id="rId5" Type="http://schemas.openxmlformats.org/officeDocument/2006/relationships/hyperlink" Target="https://www.bechtle.com/ch-fr/shop/compulocks-cartipad-solo-16-appareils--4462053--p" TargetMode="External"/><Relationship Id="rId4" Type="http://schemas.openxmlformats.org/officeDocument/2006/relationships/hyperlink" Target="https://www.digitec.ch/fr/s1/producttype/chariot-pour-notebook-3727?filter=23210%3D1386502&amp;so=5&amp;tagIds=614-653"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3F9D5-DC85-4A5D-AF3C-D9B8CEFE03BA}">
  <sheetPr>
    <pageSetUpPr autoPageBreaks="0" fitToPage="1"/>
  </sheetPr>
  <dimension ref="A1:H16"/>
  <sheetViews>
    <sheetView showGridLines="0" showRowColHeaders="0" tabSelected="1" zoomScale="160" zoomScaleNormal="160" workbookViewId="0">
      <pane ySplit="2" topLeftCell="A3" activePane="bottomLeft" state="frozen"/>
      <selection activeCell="B17" sqref="B17"/>
      <selection pane="bottomLeft" activeCell="B4" sqref="B4:D4"/>
    </sheetView>
  </sheetViews>
  <sheetFormatPr baseColWidth="10" defaultColWidth="11.5" defaultRowHeight="15" x14ac:dyDescent="0.2"/>
  <cols>
    <col min="1" max="1" width="7.5" customWidth="1"/>
    <col min="2" max="2" width="56.83203125" style="3" customWidth="1"/>
    <col min="3" max="4" width="24" style="1" customWidth="1"/>
    <col min="5" max="5" width="10.5" style="1" customWidth="1"/>
    <col min="6" max="6" width="11.5" style="1" customWidth="1"/>
    <col min="7" max="7" width="40.5" customWidth="1"/>
    <col min="8" max="8" width="11.83203125" style="1" customWidth="1"/>
    <col min="9" max="16384" width="11.5" style="1"/>
  </cols>
  <sheetData>
    <row r="1" spans="1:8" customFormat="1" ht="66" customHeight="1" x14ac:dyDescent="0.2">
      <c r="A1" s="8"/>
      <c r="B1" s="8"/>
      <c r="C1" s="9"/>
      <c r="D1" s="9"/>
      <c r="E1" s="8"/>
    </row>
    <row r="2" spans="1:8" s="7" customFormat="1" ht="57" customHeight="1" x14ac:dyDescent="0.2">
      <c r="A2" s="6"/>
      <c r="B2" s="362" t="s">
        <v>0</v>
      </c>
      <c r="C2" s="362"/>
      <c r="D2" s="362"/>
      <c r="E2" s="340"/>
      <c r="F2" s="341"/>
      <c r="G2" s="341"/>
      <c r="H2" s="341"/>
    </row>
    <row r="3" spans="1:8" s="7" customFormat="1" ht="15" customHeight="1" x14ac:dyDescent="0.2">
      <c r="A3" s="12"/>
      <c r="B3" s="11"/>
      <c r="C3" s="13"/>
      <c r="D3" s="14"/>
      <c r="E3" s="12"/>
    </row>
    <row r="4" spans="1:8" s="7" customFormat="1" ht="20.25" customHeight="1" x14ac:dyDescent="0.2">
      <c r="A4" s="12"/>
      <c r="B4" s="363" t="s">
        <v>1</v>
      </c>
      <c r="C4" s="364"/>
      <c r="D4" s="365"/>
      <c r="E4" s="12"/>
      <c r="G4" s="228"/>
    </row>
    <row r="5" spans="1:8" ht="92.5" customHeight="1" x14ac:dyDescent="0.2">
      <c r="A5" s="10"/>
      <c r="B5" s="366" t="s">
        <v>353</v>
      </c>
      <c r="C5" s="366"/>
      <c r="D5" s="366"/>
      <c r="E5" s="15"/>
      <c r="G5" s="68"/>
      <c r="H5" s="66"/>
    </row>
    <row r="6" spans="1:8" ht="19" x14ac:dyDescent="0.2">
      <c r="A6" s="10"/>
      <c r="B6" s="65"/>
      <c r="C6" s="65"/>
      <c r="D6" s="65"/>
      <c r="E6" s="15"/>
      <c r="G6" s="67"/>
      <c r="H6" s="66"/>
    </row>
    <row r="7" spans="1:8" s="7" customFormat="1" ht="20.25" customHeight="1" x14ac:dyDescent="0.2">
      <c r="A7" s="12"/>
      <c r="B7" s="363" t="s">
        <v>2</v>
      </c>
      <c r="C7" s="364"/>
      <c r="D7" s="365"/>
      <c r="E7" s="12"/>
      <c r="G7" s="228"/>
    </row>
    <row r="8" spans="1:8" ht="75.75" customHeight="1" x14ac:dyDescent="0.2">
      <c r="A8" s="10"/>
      <c r="B8" s="366" t="s">
        <v>3</v>
      </c>
      <c r="C8" s="366"/>
      <c r="D8" s="366"/>
      <c r="E8" s="15"/>
      <c r="G8" s="68"/>
      <c r="H8" s="66"/>
    </row>
    <row r="9" spans="1:8" ht="19" x14ac:dyDescent="0.2">
      <c r="A9" s="10"/>
      <c r="B9" s="65"/>
      <c r="C9" s="65"/>
      <c r="D9" s="65"/>
      <c r="E9" s="15"/>
      <c r="G9" s="67"/>
      <c r="H9" s="66"/>
    </row>
    <row r="10" spans="1:8" s="7" customFormat="1" ht="20.25" customHeight="1" x14ac:dyDescent="0.2">
      <c r="A10" s="12"/>
      <c r="B10" s="363" t="s">
        <v>4</v>
      </c>
      <c r="C10" s="364"/>
      <c r="D10" s="365"/>
      <c r="E10" s="12"/>
      <c r="G10" s="228"/>
    </row>
    <row r="11" spans="1:8" ht="131.5" customHeight="1" x14ac:dyDescent="0.2">
      <c r="A11" s="10"/>
      <c r="B11" s="367" t="s">
        <v>5</v>
      </c>
      <c r="C11" s="367"/>
      <c r="D11" s="367"/>
      <c r="E11" s="15"/>
      <c r="G11" s="68"/>
    </row>
    <row r="12" spans="1:8" x14ac:dyDescent="0.2">
      <c r="A12" s="10"/>
      <c r="B12" s="64"/>
      <c r="C12" s="64"/>
      <c r="D12" s="64"/>
      <c r="E12" s="15"/>
      <c r="G12" s="17"/>
    </row>
    <row r="13" spans="1:8" s="7" customFormat="1" ht="20.25" customHeight="1" x14ac:dyDescent="0.2">
      <c r="A13" s="12"/>
      <c r="B13" s="363" t="s">
        <v>6</v>
      </c>
      <c r="C13" s="364"/>
      <c r="D13" s="365"/>
      <c r="E13" s="12"/>
      <c r="G13" s="228"/>
    </row>
    <row r="14" spans="1:8" ht="154.5" customHeight="1" x14ac:dyDescent="0.2">
      <c r="A14" s="10"/>
      <c r="B14" s="366" t="s">
        <v>346</v>
      </c>
      <c r="C14" s="366"/>
      <c r="D14" s="366"/>
      <c r="E14" s="15"/>
      <c r="F14" s="3"/>
      <c r="G14" s="68"/>
    </row>
    <row r="15" spans="1:8" x14ac:dyDescent="0.2">
      <c r="A15" s="10"/>
      <c r="B15" s="10"/>
      <c r="C15" s="10"/>
      <c r="D15" s="10"/>
      <c r="E15" s="15"/>
      <c r="G15" s="17"/>
    </row>
    <row r="16" spans="1:8" x14ac:dyDescent="0.2">
      <c r="G16" s="17"/>
    </row>
  </sheetData>
  <sheetProtection algorithmName="SHA-512" hashValue="vomEk+V55LCv03L6oNO4biDs31lAOwsaz+si1IpOZ1dNZiNQn+kbWpYFWfb2TZq5Wp8A/hi9V1AqOIVRlckoAg==" saltValue="JZOk+FnFY02asThYplFl5A==" spinCount="100000" sheet="1" objects="1" scenarios="1"/>
  <customSheetViews>
    <customSheetView guid="{2F7F83DD-5603-CE40-9872-ABF624ECE237}" scale="130" showGridLines="0" showRowCol="0" fitToPage="1" printArea="1">
      <pane ySplit="2" topLeftCell="A3" activePane="bottomLeft" state="frozen"/>
      <selection pane="bottomLeft" activeCell="B7" sqref="B7:D7"/>
      <pageMargins left="0" right="0" top="0" bottom="0" header="0" footer="0"/>
      <pageSetup paperSize="9" scale="71" orientation="portrait" r:id="rId1"/>
      <headerFooter>
        <oddHeader>&amp;C&amp;F</oddHeader>
        <oddFooter>&amp;LVersion 1.0 / Centre de compétences Fritic &amp;C&amp;A&amp;RImprimé le &amp;D</oddFooter>
      </headerFooter>
    </customSheetView>
    <customSheetView guid="{D932F249-B54E-D54C-B8F4-0256603E93D7}" scale="130" showGridLines="0" showRowCol="0" fitToPage="1" printArea="1">
      <pane ySplit="2" topLeftCell="A3" activePane="bottomLeft" state="frozen"/>
      <selection pane="bottomLeft" activeCell="B7" sqref="B7:D7"/>
      <pageMargins left="0" right="0" top="0" bottom="0" header="0" footer="0"/>
      <pageSetup paperSize="9" scale="71" orientation="portrait" r:id="rId2"/>
      <headerFooter>
        <oddHeader>&amp;C&amp;F</oddHeader>
        <oddFooter>&amp;LVersion 1.0 / Centre de compétences Fritic &amp;C&amp;A&amp;RImprimé le &amp;D</oddFooter>
      </headerFooter>
    </customSheetView>
  </customSheetViews>
  <mergeCells count="9">
    <mergeCell ref="B2:D2"/>
    <mergeCell ref="B13:D13"/>
    <mergeCell ref="B14:D14"/>
    <mergeCell ref="B11:D11"/>
    <mergeCell ref="B4:D4"/>
    <mergeCell ref="B5:D5"/>
    <mergeCell ref="B10:D10"/>
    <mergeCell ref="B7:D7"/>
    <mergeCell ref="B8:D8"/>
  </mergeCells>
  <printOptions horizontalCentered="1"/>
  <pageMargins left="0.25" right="0.25" top="1" bottom="0.75" header="0.55000000000000004" footer="0.3"/>
  <pageSetup paperSize="9" orientation="landscape" r:id="rId3"/>
  <headerFooter scaleWithDoc="0">
    <oddHeader>&amp;C&amp;F</oddHeader>
    <oddFooter>&amp;L&amp;"Calibri,Normal"&amp;K000000Version 1.2 / Centre de compétences Fritic &amp;C&amp;"Calibri,Normal"&amp;K000000&amp;A&amp;R&amp;"Calibri,Normal"&amp;K000000Imprimé le &amp;D</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8AC81-55B4-471B-B95C-62D6A2D880D9}">
  <sheetPr>
    <pageSetUpPr autoPageBreaks="0" fitToPage="1"/>
  </sheetPr>
  <dimension ref="A1:Q17"/>
  <sheetViews>
    <sheetView showGridLines="0" showRowColHeaders="0" zoomScale="140" zoomScaleNormal="140" workbookViewId="0">
      <pane ySplit="2" topLeftCell="A3" activePane="bottomLeft" state="frozen"/>
      <selection activeCell="B17" sqref="B17"/>
      <selection pane="bottomLeft" activeCell="B5" sqref="B5:D5"/>
    </sheetView>
  </sheetViews>
  <sheetFormatPr baseColWidth="10" defaultColWidth="11.5" defaultRowHeight="15" customHeight="1" x14ac:dyDescent="0.2"/>
  <cols>
    <col min="1" max="1" width="7.5" customWidth="1"/>
    <col min="2" max="2" width="56.83203125" style="3" customWidth="1"/>
    <col min="3" max="3" width="24" style="1" customWidth="1"/>
    <col min="4" max="4" width="26" style="1" customWidth="1"/>
    <col min="5" max="5" width="9.1640625" style="1" customWidth="1"/>
    <col min="6" max="14" width="11.5" style="1"/>
    <col min="15" max="15" width="34.5" style="1" customWidth="1"/>
    <col min="16" max="16384" width="11.5" style="1"/>
  </cols>
  <sheetData>
    <row r="1" spans="1:17" customFormat="1" ht="66" customHeight="1" x14ac:dyDescent="0.2">
      <c r="A1" s="8"/>
      <c r="B1" s="8"/>
      <c r="C1" s="9"/>
      <c r="D1" s="9"/>
      <c r="E1" s="8"/>
    </row>
    <row r="2" spans="1:17" s="7" customFormat="1" ht="57" customHeight="1" x14ac:dyDescent="0.2">
      <c r="A2" s="6"/>
      <c r="B2" s="369" t="s">
        <v>7</v>
      </c>
      <c r="C2" s="369"/>
      <c r="D2" s="369"/>
      <c r="E2" s="6"/>
    </row>
    <row r="3" spans="1:17" ht="15" customHeight="1" x14ac:dyDescent="0.2">
      <c r="A3" s="10"/>
      <c r="B3" s="16"/>
      <c r="C3" s="16"/>
      <c r="D3" s="16"/>
      <c r="E3" s="15"/>
    </row>
    <row r="4" spans="1:17" ht="22.5" customHeight="1" x14ac:dyDescent="0.2">
      <c r="A4" s="10"/>
      <c r="B4" s="368" t="s">
        <v>8</v>
      </c>
      <c r="C4" s="368"/>
      <c r="D4" s="368"/>
      <c r="E4" s="15"/>
    </row>
    <row r="5" spans="1:17" ht="23.25" customHeight="1" x14ac:dyDescent="0.2">
      <c r="A5" s="10"/>
      <c r="B5" s="363" t="s">
        <v>9</v>
      </c>
      <c r="C5" s="364"/>
      <c r="D5" s="365"/>
      <c r="E5" s="15"/>
    </row>
    <row r="6" spans="1:17" ht="137.25" customHeight="1" x14ac:dyDescent="0.2">
      <c r="A6" s="10"/>
      <c r="B6" s="368" t="s">
        <v>352</v>
      </c>
      <c r="C6" s="368"/>
      <c r="D6" s="368"/>
      <c r="E6" s="15"/>
    </row>
    <row r="7" spans="1:17" ht="64.5" customHeight="1" x14ac:dyDescent="0.2">
      <c r="A7" s="10"/>
      <c r="B7" s="368" t="s">
        <v>10</v>
      </c>
      <c r="C7" s="368"/>
      <c r="D7" s="368"/>
      <c r="E7" s="15"/>
    </row>
    <row r="8" spans="1:17" ht="229.5" customHeight="1" x14ac:dyDescent="0.2">
      <c r="A8" s="10"/>
      <c r="B8" s="368" t="s">
        <v>11</v>
      </c>
      <c r="C8" s="368"/>
      <c r="D8" s="368"/>
      <c r="E8" s="15"/>
    </row>
    <row r="9" spans="1:17" ht="23.25" customHeight="1" x14ac:dyDescent="0.2">
      <c r="A9" s="10"/>
      <c r="B9" s="363" t="s">
        <v>12</v>
      </c>
      <c r="C9" s="364"/>
      <c r="D9" s="365"/>
      <c r="E9" s="15"/>
    </row>
    <row r="10" spans="1:17" s="2" customFormat="1" ht="93" customHeight="1" x14ac:dyDescent="0.2">
      <c r="A10" s="10"/>
      <c r="B10" s="368" t="s">
        <v>13</v>
      </c>
      <c r="C10" s="368"/>
      <c r="D10" s="368"/>
      <c r="E10" s="15"/>
      <c r="F10" s="1"/>
      <c r="G10" s="1"/>
      <c r="H10" s="1"/>
      <c r="I10" s="1"/>
      <c r="J10" s="1"/>
      <c r="K10" s="1"/>
      <c r="L10" s="1"/>
      <c r="M10" s="1"/>
      <c r="N10" s="1"/>
    </row>
    <row r="11" spans="1:17" x14ac:dyDescent="0.2">
      <c r="A11" s="10"/>
      <c r="B11" s="10"/>
      <c r="C11" s="10"/>
      <c r="D11" s="10"/>
      <c r="E11" s="15"/>
    </row>
    <row r="15" spans="1:17" x14ac:dyDescent="0.2">
      <c r="O15" s="69"/>
      <c r="P15" s="69"/>
      <c r="Q15" s="69"/>
    </row>
    <row r="16" spans="1:17" ht="280" customHeight="1" x14ac:dyDescent="0.2">
      <c r="O16" s="70"/>
      <c r="P16" s="70"/>
      <c r="Q16" s="70"/>
    </row>
    <row r="17" spans="15:17" x14ac:dyDescent="0.2">
      <c r="O17" s="70"/>
      <c r="P17" s="70"/>
      <c r="Q17" s="70"/>
    </row>
  </sheetData>
  <sheetProtection algorithmName="SHA-512" hashValue="YWd2E8DeyCflwSeilzKuHP3J9ytOa7qzviGBT1han4MEAkQkBZMNXsD4MoClCcA85ju4NkXjVqiXCg6+Gu6gIA==" saltValue="xRT9hmyRmyi4yplYc1WoIw==" spinCount="100000" sheet="1" objects="1" scenarios="1"/>
  <customSheetViews>
    <customSheetView guid="{2F7F83DD-5603-CE40-9872-ABF624ECE237}" scale="120" fitToPage="1" printArea="1">
      <pane ySplit="2" topLeftCell="A3" activePane="bottomLeft" state="frozen"/>
      <selection pane="bottomLeft" activeCell="B7" sqref="B7:D7"/>
      <pageMargins left="0" right="0" top="0" bottom="0" header="0" footer="0"/>
      <pageSetup paperSize="9" scale="71" orientation="portrait" r:id="rId1"/>
      <headerFooter>
        <oddHeader>&amp;C&amp;F</oddHeader>
        <oddFooter>&amp;LVersion 1.0 / Centre de compétences Fritic &amp;C&amp;A&amp;RImprimé le &amp;D</oddFooter>
      </headerFooter>
    </customSheetView>
    <customSheetView guid="{D932F249-B54E-D54C-B8F4-0256603E93D7}" scale="120" showGridLines="0" showRowCol="0" fitToPage="1" printArea="1">
      <pane ySplit="2" topLeftCell="A3" activePane="bottomLeft" state="frozen"/>
      <selection pane="bottomLeft" activeCell="B7" sqref="B7:D7"/>
      <pageMargins left="0" right="0" top="0" bottom="0" header="0" footer="0"/>
      <pageSetup paperSize="9" scale="48" orientation="portrait" r:id="rId2"/>
      <headerFooter>
        <oddHeader>&amp;C&amp;F</oddHeader>
        <oddFooter>&amp;LVersion 1.0 / Centre de compétences Fritic &amp;C&amp;A&amp;RImprimé le &amp;D</oddFooter>
      </headerFooter>
    </customSheetView>
  </customSheetViews>
  <mergeCells count="8">
    <mergeCell ref="B10:D10"/>
    <mergeCell ref="B5:D5"/>
    <mergeCell ref="B2:D2"/>
    <mergeCell ref="B4:D4"/>
    <mergeCell ref="B7:D7"/>
    <mergeCell ref="B9:D9"/>
    <mergeCell ref="B6:D6"/>
    <mergeCell ref="B8:D8"/>
  </mergeCells>
  <printOptions horizontalCentered="1"/>
  <pageMargins left="0.25" right="0.25" top="1" bottom="0.75" header="0.55000000000000004" footer="0.3"/>
  <pageSetup paperSize="9" scale="99" orientation="landscape" r:id="rId3"/>
  <headerFooter scaleWithDoc="0">
    <oddHeader>&amp;C&amp;F</oddHeader>
    <oddFooter>&amp;L&amp;"Calibri,Normal"&amp;K000000Version 1.2 / Centre de compétences Fritic &amp;C&amp;"Calibri,Normal"&amp;K000000&amp;A&amp;R&amp;"Calibri,Normal"&amp;K000000Imprimé le &amp;D</oddFooter>
  </headerFooter>
  <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34452-AC81-144C-8654-372DF137DD37}">
  <sheetPr>
    <pageSetUpPr fitToPage="1"/>
  </sheetPr>
  <dimension ref="A1:BH124"/>
  <sheetViews>
    <sheetView showGridLines="0" showRowColHeaders="0" zoomScaleNormal="100" workbookViewId="0">
      <selection activeCell="C4" sqref="C4:H4"/>
    </sheetView>
  </sheetViews>
  <sheetFormatPr baseColWidth="10" defaultColWidth="10.83203125" defaultRowHeight="15" x14ac:dyDescent="0.2"/>
  <cols>
    <col min="1" max="1" width="4.5" customWidth="1"/>
    <col min="2" max="2" width="20.83203125" customWidth="1"/>
    <col min="3" max="7" width="9.5" customWidth="1"/>
    <col min="8" max="13" width="10.1640625" customWidth="1"/>
    <col min="14" max="14" width="27.83203125" customWidth="1"/>
    <col min="15" max="17" width="12.5" customWidth="1"/>
    <col min="18" max="18" width="4.5" customWidth="1"/>
    <col min="19" max="19" width="10.83203125" customWidth="1"/>
    <col min="20" max="20" width="9.5" style="17" hidden="1" customWidth="1"/>
    <col min="21" max="60" width="10.83203125" hidden="1" customWidth="1"/>
    <col min="61" max="61" width="10.83203125" customWidth="1"/>
  </cols>
  <sheetData>
    <row r="1" spans="1:33" ht="70" customHeight="1" x14ac:dyDescent="0.2">
      <c r="A1" s="8"/>
      <c r="B1" s="8"/>
      <c r="C1" s="8"/>
      <c r="D1" s="8"/>
      <c r="E1" s="8"/>
      <c r="F1" s="8"/>
      <c r="G1" s="8"/>
      <c r="H1" s="8"/>
      <c r="I1" s="9"/>
      <c r="J1" s="9"/>
      <c r="K1" s="9"/>
      <c r="L1" s="9"/>
      <c r="M1" s="9"/>
      <c r="N1" s="9"/>
      <c r="O1" s="9"/>
      <c r="P1" s="9"/>
      <c r="Q1" s="8"/>
      <c r="R1" s="8"/>
    </row>
    <row r="2" spans="1:33" ht="59.25" customHeight="1" x14ac:dyDescent="0.2">
      <c r="A2" s="6"/>
      <c r="B2" s="424" t="s">
        <v>14</v>
      </c>
      <c r="C2" s="424"/>
      <c r="D2" s="424"/>
      <c r="E2" s="424"/>
      <c r="F2" s="424"/>
      <c r="G2" s="424"/>
      <c r="H2" s="424"/>
      <c r="I2" s="103"/>
      <c r="J2" s="103"/>
      <c r="K2" s="103"/>
      <c r="L2" s="103"/>
      <c r="M2" s="103"/>
      <c r="N2" s="104"/>
      <c r="O2" s="104"/>
      <c r="P2" s="104"/>
      <c r="Q2" s="6"/>
      <c r="R2" s="6"/>
      <c r="T2" s="225"/>
    </row>
    <row r="3" spans="1:33" s="7" customFormat="1" ht="17.25" customHeight="1" x14ac:dyDescent="0.2">
      <c r="A3" s="226"/>
      <c r="B3" s="226"/>
      <c r="C3" s="226"/>
      <c r="D3" s="226"/>
      <c r="E3" s="226"/>
      <c r="F3" s="226"/>
      <c r="G3" s="226"/>
      <c r="H3" s="227"/>
      <c r="I3" s="226"/>
      <c r="J3" s="226"/>
      <c r="K3" s="226"/>
      <c r="L3" s="226"/>
      <c r="M3" s="226"/>
      <c r="N3" s="226"/>
      <c r="O3" s="226"/>
      <c r="P3" s="226"/>
      <c r="Q3" s="226"/>
      <c r="R3" s="226"/>
      <c r="T3" s="228"/>
    </row>
    <row r="4" spans="1:33" ht="16" customHeight="1" x14ac:dyDescent="0.2">
      <c r="A4" s="226"/>
      <c r="B4" s="229" t="s">
        <v>15</v>
      </c>
      <c r="C4" s="425"/>
      <c r="D4" s="426"/>
      <c r="E4" s="426"/>
      <c r="F4" s="426"/>
      <c r="G4" s="426"/>
      <c r="H4" s="427"/>
      <c r="I4" s="226"/>
      <c r="J4" s="226"/>
      <c r="K4" s="226"/>
      <c r="L4" s="226" t="s">
        <v>16</v>
      </c>
      <c r="M4" s="226"/>
      <c r="N4" s="230"/>
      <c r="O4" s="230"/>
      <c r="P4" s="230"/>
      <c r="Q4" s="230"/>
      <c r="R4" s="106"/>
      <c r="T4" s="231"/>
      <c r="U4" s="232"/>
      <c r="V4" s="232"/>
      <c r="W4" s="232"/>
      <c r="X4" s="232"/>
      <c r="Y4" s="232"/>
      <c r="Z4" s="232"/>
      <c r="AA4" s="232"/>
      <c r="AB4" s="232"/>
      <c r="AC4" s="232"/>
    </row>
    <row r="5" spans="1:33" x14ac:dyDescent="0.2">
      <c r="A5" s="226"/>
      <c r="B5" s="226"/>
      <c r="C5" s="226"/>
      <c r="D5" s="226"/>
      <c r="E5" s="226"/>
      <c r="F5" s="4"/>
      <c r="G5" s="4"/>
      <c r="H5" s="4"/>
      <c r="I5" s="4"/>
      <c r="J5" s="4"/>
      <c r="K5" s="4"/>
      <c r="L5" s="4"/>
      <c r="M5" s="4"/>
      <c r="N5" s="230"/>
      <c r="O5" s="230"/>
      <c r="P5" s="230"/>
      <c r="Q5" s="230"/>
      <c r="R5" s="4"/>
      <c r="T5" s="233"/>
    </row>
    <row r="6" spans="1:33" ht="19" customHeight="1" x14ac:dyDescent="0.2">
      <c r="A6" s="226"/>
      <c r="B6" s="234" t="s">
        <v>17</v>
      </c>
      <c r="C6" s="235"/>
      <c r="D6" s="235"/>
      <c r="E6" s="235"/>
      <c r="F6" s="235"/>
      <c r="G6" s="235"/>
      <c r="H6" s="236"/>
      <c r="I6" s="175"/>
      <c r="J6" s="175"/>
      <c r="K6" s="175"/>
      <c r="L6" s="175"/>
      <c r="M6" s="175"/>
      <c r="N6" s="175"/>
      <c r="O6" s="175"/>
      <c r="P6" s="175"/>
      <c r="Q6" s="175"/>
      <c r="R6" s="4"/>
      <c r="X6" s="237"/>
    </row>
    <row r="7" spans="1:33" ht="15" customHeight="1" x14ac:dyDescent="0.2">
      <c r="A7" s="4"/>
      <c r="B7" s="238"/>
      <c r="C7" s="239"/>
      <c r="D7" s="239"/>
      <c r="E7" s="239"/>
      <c r="F7" s="239"/>
      <c r="G7" s="239"/>
      <c r="H7" s="240"/>
      <c r="I7" s="4"/>
      <c r="J7" s="4"/>
      <c r="K7" s="4"/>
      <c r="L7" s="4"/>
      <c r="M7" s="4"/>
      <c r="N7" s="4"/>
      <c r="O7" s="4"/>
      <c r="P7" s="4"/>
      <c r="Q7" s="4"/>
      <c r="R7" s="4"/>
    </row>
    <row r="8" spans="1:33" ht="14.5" customHeight="1" x14ac:dyDescent="0.2">
      <c r="A8" s="4"/>
      <c r="B8" s="242" t="s">
        <v>18</v>
      </c>
      <c r="C8" s="119" t="s">
        <v>19</v>
      </c>
      <c r="D8" s="119" t="s">
        <v>20</v>
      </c>
      <c r="E8" s="243" t="s">
        <v>21</v>
      </c>
      <c r="F8" s="243" t="s">
        <v>22</v>
      </c>
      <c r="G8" s="244" t="s">
        <v>23</v>
      </c>
      <c r="H8" s="243" t="s">
        <v>24</v>
      </c>
      <c r="I8" s="4"/>
      <c r="J8" s="4"/>
      <c r="K8" s="4"/>
      <c r="L8" s="4"/>
      <c r="M8" s="4"/>
      <c r="N8" s="4"/>
      <c r="O8" s="4"/>
      <c r="P8" s="4"/>
      <c r="Q8" s="4"/>
      <c r="R8" s="4"/>
    </row>
    <row r="9" spans="1:33" ht="16" customHeight="1" x14ac:dyDescent="0.2">
      <c r="A9" s="4"/>
      <c r="B9" s="245" t="s">
        <v>25</v>
      </c>
      <c r="C9" s="97"/>
      <c r="D9" s="98"/>
      <c r="E9" s="99"/>
      <c r="F9" s="99"/>
      <c r="G9" s="100"/>
      <c r="H9" s="246">
        <f>SUM(C9:G9)</f>
        <v>0</v>
      </c>
      <c r="I9" s="4"/>
      <c r="J9" s="4"/>
      <c r="K9" s="4"/>
      <c r="L9" s="4"/>
      <c r="M9" s="4"/>
      <c r="N9" s="4"/>
      <c r="O9" s="4"/>
      <c r="P9" s="4"/>
      <c r="Q9" s="4"/>
      <c r="R9" s="4"/>
      <c r="X9" s="247" t="s">
        <v>26</v>
      </c>
    </row>
    <row r="10" spans="1:33" ht="16" customHeight="1" x14ac:dyDescent="0.2">
      <c r="A10" s="4"/>
      <c r="B10" s="248" t="s">
        <v>27</v>
      </c>
      <c r="C10" s="55"/>
      <c r="D10" s="56"/>
      <c r="E10" s="249"/>
      <c r="F10" s="249"/>
      <c r="G10" s="249"/>
      <c r="H10" s="250"/>
      <c r="I10" s="4"/>
      <c r="J10" s="4"/>
      <c r="K10" s="4"/>
      <c r="L10" s="4"/>
      <c r="M10" s="4"/>
      <c r="N10" s="4"/>
      <c r="O10" s="4"/>
      <c r="P10" s="4"/>
      <c r="Q10" s="4"/>
      <c r="R10" s="4"/>
      <c r="X10" s="247">
        <f>ROW(A68)-ROW(A51)</f>
        <v>17</v>
      </c>
    </row>
    <row r="11" spans="1:33" ht="15" customHeight="1" x14ac:dyDescent="0.2">
      <c r="A11" s="4"/>
      <c r="B11" s="241"/>
      <c r="C11" s="239"/>
      <c r="D11" s="249"/>
      <c r="E11" s="249"/>
      <c r="F11" s="249"/>
      <c r="G11" s="249"/>
      <c r="H11" s="250"/>
      <c r="I11" s="4"/>
      <c r="J11" s="4"/>
      <c r="K11" s="4"/>
      <c r="L11" s="4"/>
      <c r="M11" s="4"/>
      <c r="N11" s="4"/>
      <c r="O11" s="4"/>
      <c r="P11" s="4"/>
      <c r="Q11" s="4"/>
      <c r="R11" s="4"/>
      <c r="S11" s="333"/>
    </row>
    <row r="12" spans="1:33" ht="16" customHeight="1" x14ac:dyDescent="0.2">
      <c r="A12" s="4"/>
      <c r="B12" s="359" t="s">
        <v>349</v>
      </c>
      <c r="C12" s="249"/>
      <c r="D12" s="249"/>
      <c r="E12" s="249"/>
      <c r="F12" s="249"/>
      <c r="G12" s="249"/>
      <c r="H12" s="250"/>
      <c r="I12" s="4"/>
      <c r="J12" s="4"/>
      <c r="K12" s="4"/>
      <c r="L12" s="4"/>
      <c r="M12" s="4"/>
      <c r="N12" s="4"/>
      <c r="O12" s="4"/>
      <c r="P12" s="4"/>
      <c r="Q12" s="4"/>
      <c r="R12" s="4"/>
    </row>
    <row r="13" spans="1:33" ht="14.5" customHeight="1" x14ac:dyDescent="0.2">
      <c r="A13" s="4"/>
      <c r="B13" s="394" t="s">
        <v>28</v>
      </c>
      <c r="C13" s="119" t="s">
        <v>19</v>
      </c>
      <c r="D13" s="119" t="s">
        <v>20</v>
      </c>
      <c r="E13" s="119" t="s">
        <v>21</v>
      </c>
      <c r="F13" s="119" t="s">
        <v>22</v>
      </c>
      <c r="G13" s="119" t="s">
        <v>23</v>
      </c>
      <c r="H13" s="119" t="s">
        <v>24</v>
      </c>
      <c r="I13" s="4"/>
      <c r="J13" s="4"/>
      <c r="K13" s="4"/>
      <c r="L13" s="4"/>
      <c r="M13" s="4"/>
      <c r="N13" s="4"/>
      <c r="O13" s="4"/>
      <c r="P13" s="4"/>
      <c r="Q13" s="4"/>
      <c r="R13" s="4"/>
    </row>
    <row r="14" spans="1:33" ht="16" customHeight="1" x14ac:dyDescent="0.2">
      <c r="A14" s="4"/>
      <c r="B14" s="432"/>
      <c r="C14" s="428" t="s">
        <v>29</v>
      </c>
      <c r="D14" s="379" t="s">
        <v>29</v>
      </c>
      <c r="E14" s="379" t="s">
        <v>30</v>
      </c>
      <c r="F14" s="379" t="s">
        <v>30</v>
      </c>
      <c r="G14" s="381" t="s">
        <v>30</v>
      </c>
      <c r="H14" s="251"/>
      <c r="I14" s="4"/>
      <c r="J14" s="4"/>
      <c r="K14" s="4"/>
      <c r="L14" s="4"/>
      <c r="M14" s="4"/>
      <c r="N14" s="4"/>
      <c r="O14" s="4"/>
      <c r="P14" s="4"/>
      <c r="Q14" s="4"/>
      <c r="R14" s="4"/>
    </row>
    <row r="15" spans="1:33" ht="15" customHeight="1" x14ac:dyDescent="0.2">
      <c r="A15" s="4"/>
      <c r="B15" s="395"/>
      <c r="C15" s="429"/>
      <c r="D15" s="380"/>
      <c r="E15" s="380"/>
      <c r="F15" s="380"/>
      <c r="G15" s="382"/>
      <c r="H15" s="251"/>
      <c r="I15" s="4"/>
      <c r="J15" s="4"/>
      <c r="K15" s="4"/>
      <c r="L15" s="4"/>
      <c r="M15" s="4"/>
      <c r="N15" s="370" t="s">
        <v>31</v>
      </c>
      <c r="O15" s="370"/>
      <c r="P15" s="370"/>
      <c r="Q15" s="370"/>
      <c r="R15" s="4"/>
      <c r="AD15" s="252" t="s">
        <v>32</v>
      </c>
      <c r="AE15" s="252"/>
    </row>
    <row r="16" spans="1:33" ht="15" customHeight="1" x14ac:dyDescent="0.2">
      <c r="A16" s="4"/>
      <c r="B16" s="371" t="s">
        <v>350</v>
      </c>
      <c r="C16" s="373">
        <v>0</v>
      </c>
      <c r="D16" s="375">
        <v>4</v>
      </c>
      <c r="E16" s="375">
        <v>3</v>
      </c>
      <c r="F16" s="375">
        <v>2</v>
      </c>
      <c r="G16" s="430">
        <v>2</v>
      </c>
      <c r="H16" s="251"/>
      <c r="I16" s="4"/>
      <c r="J16" s="4"/>
      <c r="K16" s="4"/>
      <c r="L16" s="4"/>
      <c r="M16" s="4"/>
      <c r="N16" s="370"/>
      <c r="O16" s="370"/>
      <c r="P16" s="370"/>
      <c r="Q16" s="370"/>
      <c r="R16" s="4"/>
      <c r="AD16" t="s">
        <v>33</v>
      </c>
      <c r="AE16">
        <v>12</v>
      </c>
      <c r="AF16">
        <v>24</v>
      </c>
      <c r="AG16">
        <v>48</v>
      </c>
    </row>
    <row r="17" spans="1:59" x14ac:dyDescent="0.2">
      <c r="A17" s="4"/>
      <c r="B17" s="372"/>
      <c r="C17" s="374"/>
      <c r="D17" s="376"/>
      <c r="E17" s="376"/>
      <c r="F17" s="376"/>
      <c r="G17" s="431"/>
      <c r="H17" s="253"/>
      <c r="I17" s="4"/>
      <c r="J17" s="4"/>
      <c r="K17" s="4"/>
      <c r="L17" s="4"/>
      <c r="M17" s="4"/>
      <c r="N17" s="370" t="s">
        <v>34</v>
      </c>
      <c r="O17" s="370" t="s">
        <v>35</v>
      </c>
      <c r="P17" s="370" t="s">
        <v>36</v>
      </c>
      <c r="Q17" s="370" t="s">
        <v>37</v>
      </c>
      <c r="R17" s="4"/>
      <c r="AD17" t="s">
        <v>38</v>
      </c>
      <c r="AE17">
        <v>1000</v>
      </c>
      <c r="AF17">
        <v>2500</v>
      </c>
      <c r="AG17">
        <v>3500</v>
      </c>
    </row>
    <row r="18" spans="1:59" ht="15" customHeight="1" x14ac:dyDescent="0.2">
      <c r="A18" s="4"/>
      <c r="B18" s="412" t="s">
        <v>347</v>
      </c>
      <c r="C18" s="414">
        <f>ROUNDUP(C10*C16,0)</f>
        <v>0</v>
      </c>
      <c r="D18" s="416">
        <f>ROUNDUP(D10*D16,0)</f>
        <v>0</v>
      </c>
      <c r="E18" s="416">
        <f>ROUNDUP(E9/E16,0)</f>
        <v>0</v>
      </c>
      <c r="F18" s="416">
        <f t="shared" ref="F18:G18" si="0">ROUNDUP(F9/F16,0)</f>
        <v>0</v>
      </c>
      <c r="G18" s="435">
        <f t="shared" si="0"/>
        <v>0</v>
      </c>
      <c r="H18" s="377">
        <f>SUM(C18:G18)</f>
        <v>0</v>
      </c>
      <c r="I18" s="4"/>
      <c r="J18" s="4"/>
      <c r="K18" s="4"/>
      <c r="L18" s="4"/>
      <c r="M18" s="4"/>
      <c r="N18" s="370"/>
      <c r="O18" s="370"/>
      <c r="P18" s="370"/>
      <c r="Q18" s="370"/>
      <c r="R18" s="4"/>
      <c r="AD18" t="s">
        <v>39</v>
      </c>
      <c r="AE18">
        <v>500</v>
      </c>
      <c r="AF18">
        <v>500</v>
      </c>
      <c r="AG18">
        <v>500</v>
      </c>
    </row>
    <row r="19" spans="1:59" ht="15" customHeight="1" x14ac:dyDescent="0.2">
      <c r="A19" s="4"/>
      <c r="B19" s="413"/>
      <c r="C19" s="415"/>
      <c r="D19" s="417"/>
      <c r="E19" s="417"/>
      <c r="F19" s="417"/>
      <c r="G19" s="436"/>
      <c r="H19" s="378"/>
      <c r="I19" s="4"/>
      <c r="J19" s="4"/>
      <c r="K19" s="4"/>
      <c r="L19" s="4"/>
      <c r="M19" s="4"/>
      <c r="N19" s="254" t="str">
        <f>INDEX(Syst_Rang,1,1)</f>
        <v>Chariot charg. 14 laptop</v>
      </c>
      <c r="O19" s="351">
        <f>SUMIF(N28:N118,N19,O28:O118)</f>
        <v>0</v>
      </c>
      <c r="P19" s="354">
        <f>IF(ISTEXT(N19),VLOOKUP(N19,Syst_Rang,2,0),0)</f>
        <v>1800</v>
      </c>
      <c r="Q19" s="354">
        <f>O19*P19</f>
        <v>0</v>
      </c>
      <c r="R19" s="4"/>
      <c r="AD19" t="s">
        <v>40</v>
      </c>
      <c r="AE19">
        <v>500</v>
      </c>
      <c r="AF19">
        <v>500</v>
      </c>
      <c r="AG19">
        <v>500</v>
      </c>
    </row>
    <row r="20" spans="1:59" ht="27" customHeight="1" thickBot="1" x14ac:dyDescent="0.25">
      <c r="A20" s="4"/>
      <c r="B20" s="360" t="s">
        <v>351</v>
      </c>
      <c r="C20" s="255">
        <v>0</v>
      </c>
      <c r="D20" s="256">
        <v>6</v>
      </c>
      <c r="E20" s="256">
        <v>2</v>
      </c>
      <c r="F20" s="256">
        <v>1</v>
      </c>
      <c r="G20" s="257">
        <v>1</v>
      </c>
      <c r="H20" s="251"/>
      <c r="I20" s="4"/>
      <c r="J20" s="4"/>
      <c r="K20" s="4"/>
      <c r="L20" s="4"/>
      <c r="M20" s="4"/>
      <c r="N20" s="342" t="str">
        <f>INDEX(Syst_Rang,2,1)</f>
        <v>Chariot charg. 16 laptop</v>
      </c>
      <c r="O20" s="352">
        <f>SUMIF(N28:N118,N20,O28:O118)</f>
        <v>0</v>
      </c>
      <c r="P20" s="355">
        <f>IF(ISTEXT(N20),VLOOKUP(N20,Syst_Rang,2,0),0)</f>
        <v>2000</v>
      </c>
      <c r="Q20" s="355">
        <f t="shared" ref="Q20:Q23" si="1">O20*P20</f>
        <v>0</v>
      </c>
      <c r="R20" s="4"/>
      <c r="AD20" s="258" t="s">
        <v>24</v>
      </c>
      <c r="AE20" s="258">
        <f>SUM(AE17:AE19)</f>
        <v>2000</v>
      </c>
      <c r="AF20" s="258">
        <f>SUM(AF17:AF19)</f>
        <v>3500</v>
      </c>
      <c r="AG20" s="258">
        <f>SUM(AG17:AG19)</f>
        <v>4500</v>
      </c>
    </row>
    <row r="21" spans="1:59" ht="16" customHeight="1" thickTop="1" x14ac:dyDescent="0.2">
      <c r="A21" s="4"/>
      <c r="B21" s="361" t="s">
        <v>348</v>
      </c>
      <c r="C21" s="357"/>
      <c r="D21" s="71"/>
      <c r="E21" s="71"/>
      <c r="F21" s="71"/>
      <c r="G21" s="358"/>
      <c r="H21" s="251"/>
      <c r="I21" s="310"/>
      <c r="J21" s="4"/>
      <c r="K21" s="4"/>
      <c r="L21" s="4"/>
      <c r="M21" s="4"/>
      <c r="N21" s="342" t="str">
        <f>INDEX(Syst_Rang,3,1)</f>
        <v>Armoire charg. 16 laptop/ipad</v>
      </c>
      <c r="O21" s="352">
        <f>SUMIF(N28:N118,N21,O28:O118)</f>
        <v>0</v>
      </c>
      <c r="P21" s="355">
        <f>IF(ISTEXT(N21),VLOOKUP(N21,Syst_Rang,2,0),0)</f>
        <v>900</v>
      </c>
      <c r="Q21" s="355">
        <f t="shared" si="1"/>
        <v>0</v>
      </c>
      <c r="R21" s="4"/>
      <c r="AD21" t="s">
        <v>41</v>
      </c>
      <c r="AE21">
        <f t="shared" ref="AE21:AG21" si="2">AE20/AE16</f>
        <v>166.66666666666666</v>
      </c>
      <c r="AF21">
        <f t="shared" si="2"/>
        <v>145.83333333333334</v>
      </c>
      <c r="AG21">
        <f t="shared" si="2"/>
        <v>93.75</v>
      </c>
    </row>
    <row r="22" spans="1:59" ht="16" customHeight="1" x14ac:dyDescent="0.2">
      <c r="A22" s="4"/>
      <c r="B22" s="259" t="s">
        <v>42</v>
      </c>
      <c r="C22" s="260">
        <f>IF(ISNUMBER(C21),C21,C16)</f>
        <v>0</v>
      </c>
      <c r="D22" s="261">
        <f>IF(ISNUMBER(D21),D21,D16)</f>
        <v>4</v>
      </c>
      <c r="E22" s="261">
        <f>IF(ISNUMBER(E21),E21,E16)</f>
        <v>3</v>
      </c>
      <c r="F22" s="261">
        <f>IF(ISNUMBER(F21),F21,F16)</f>
        <v>2</v>
      </c>
      <c r="G22" s="262">
        <f>IF(ISNUMBER(G21),G21,G16)</f>
        <v>2</v>
      </c>
      <c r="H22" s="253"/>
      <c r="I22" s="310"/>
      <c r="J22" s="4"/>
      <c r="K22" s="4"/>
      <c r="L22" s="4"/>
      <c r="M22" s="4"/>
      <c r="N22" s="342" t="str">
        <f>INDEX(Syst_Rang,4,1)</f>
        <v>Malette charg. 14 tablettes</v>
      </c>
      <c r="O22" s="352">
        <f>SUMIF(N28:N118,N22,O28:O118)</f>
        <v>0</v>
      </c>
      <c r="P22" s="355">
        <f>IF(ISTEXT(N22),VLOOKUP(N22,Syst_Rang,2,0),0)</f>
        <v>1000</v>
      </c>
      <c r="Q22" s="355">
        <f t="shared" si="1"/>
        <v>0</v>
      </c>
      <c r="R22" s="4"/>
    </row>
    <row r="23" spans="1:59" ht="15" customHeight="1" x14ac:dyDescent="0.2">
      <c r="A23" s="226"/>
      <c r="B23" s="263" t="s">
        <v>43</v>
      </c>
      <c r="C23" s="264">
        <f>ROUNDUP(C10*Dotation_Déterm_1_2H,0)</f>
        <v>0</v>
      </c>
      <c r="D23" s="264">
        <f>ROUNDUP(D10*Dotation_Déterm_3_4H,0)</f>
        <v>0</v>
      </c>
      <c r="E23" s="264">
        <f>ROUNDUP(E9/Dotation_Déterm_5_6H,0)</f>
        <v>0</v>
      </c>
      <c r="F23" s="264">
        <f>ROUNDUP(F9/Dotation_Déterm_7_8H,0)</f>
        <v>0</v>
      </c>
      <c r="G23" s="265">
        <f>ROUNDUP(G9/Dotation_Déterm_9_11H,0)</f>
        <v>0</v>
      </c>
      <c r="H23" s="266">
        <f>SUM(C23:G23)</f>
        <v>0</v>
      </c>
      <c r="I23" s="175"/>
      <c r="J23" s="175"/>
      <c r="K23" s="175"/>
      <c r="L23" s="175"/>
      <c r="M23" s="175"/>
      <c r="N23" s="343" t="str">
        <f>INDEX(Syst_Rang,5,1)</f>
        <v>Autre</v>
      </c>
      <c r="O23" s="353">
        <f>SUMIF(N28:N118,N23,O28:O118)</f>
        <v>0</v>
      </c>
      <c r="P23" s="356">
        <f>IF(ISTEXT(N23),VLOOKUP(N23,Syst_Rang,2,0),0)</f>
        <v>1500</v>
      </c>
      <c r="Q23" s="356">
        <f t="shared" si="1"/>
        <v>0</v>
      </c>
      <c r="R23" s="4"/>
      <c r="T23" s="233"/>
    </row>
    <row r="24" spans="1:59" ht="15" hidden="1" customHeight="1" x14ac:dyDescent="0.2">
      <c r="A24" s="226"/>
      <c r="B24" s="267" t="s">
        <v>44</v>
      </c>
      <c r="C24" s="268">
        <f>IF(C10&gt;0,C9/C10,0)</f>
        <v>0</v>
      </c>
      <c r="D24" s="268">
        <f t="shared" ref="D24" si="3">IF(D10&gt;0,D9/D10,0)</f>
        <v>0</v>
      </c>
      <c r="E24" s="268"/>
      <c r="F24" s="268"/>
      <c r="G24" s="268"/>
      <c r="H24" s="269"/>
      <c r="I24" s="4"/>
      <c r="J24" s="4"/>
      <c r="K24" s="4"/>
      <c r="L24" s="4"/>
      <c r="M24" s="4"/>
      <c r="N24" s="4"/>
      <c r="O24" s="4"/>
      <c r="P24" s="4"/>
      <c r="Q24" s="4"/>
      <c r="R24" s="4"/>
      <c r="T24" s="233"/>
    </row>
    <row r="25" spans="1:59" ht="15" hidden="1" customHeight="1" x14ac:dyDescent="0.2">
      <c r="A25" s="4"/>
      <c r="B25" s="270" t="s">
        <v>45</v>
      </c>
      <c r="C25" s="271" cm="1">
        <f t="array" aca="1" ref="C25:G25" ca="1">INDIRECT("Moy_ElevePClasse")</f>
        <v>18.399999999999999</v>
      </c>
      <c r="D25" s="271">
        <f ca="1"/>
        <v>18.899999999999999</v>
      </c>
      <c r="E25" s="271">
        <f ca="1"/>
        <v>18.899999999999999</v>
      </c>
      <c r="F25" s="271">
        <f ca="1"/>
        <v>18.899999999999999</v>
      </c>
      <c r="G25" s="271">
        <f ca="1"/>
        <v>20.100000000000001</v>
      </c>
      <c r="H25" s="272"/>
      <c r="I25" s="4"/>
      <c r="J25" s="4"/>
      <c r="K25" s="4"/>
      <c r="L25" s="4"/>
      <c r="M25" s="4"/>
      <c r="N25" s="4"/>
      <c r="O25" s="4"/>
      <c r="P25" s="4"/>
      <c r="Q25" s="4"/>
      <c r="R25" s="4"/>
      <c r="AD25" t="s">
        <v>46</v>
      </c>
    </row>
    <row r="26" spans="1:59" ht="15" customHeight="1" x14ac:dyDescent="0.2">
      <c r="A26" s="4"/>
      <c r="B26" s="4"/>
      <c r="C26" s="4"/>
      <c r="D26" s="4"/>
      <c r="E26" s="4"/>
      <c r="F26" s="4"/>
      <c r="G26" s="4"/>
      <c r="H26" s="4"/>
      <c r="I26" s="4"/>
      <c r="J26" s="4"/>
      <c r="K26" s="4"/>
      <c r="L26" s="4"/>
      <c r="M26" s="4"/>
      <c r="N26" s="4"/>
      <c r="O26" s="4"/>
      <c r="P26" s="4"/>
      <c r="Q26" s="4"/>
      <c r="R26" s="4"/>
      <c r="AD26">
        <v>200</v>
      </c>
    </row>
    <row r="27" spans="1:59" ht="15" customHeight="1" x14ac:dyDescent="0.2">
      <c r="A27" s="4"/>
      <c r="B27" s="4"/>
      <c r="C27" s="4"/>
      <c r="D27" s="4"/>
      <c r="E27" s="4"/>
      <c r="F27" s="4"/>
      <c r="G27" s="4"/>
      <c r="H27" s="4"/>
      <c r="I27" s="4"/>
      <c r="J27" s="4"/>
      <c r="K27" s="4"/>
      <c r="L27" s="4"/>
      <c r="M27" s="4"/>
      <c r="N27" s="4"/>
      <c r="O27" s="4"/>
      <c r="P27" s="4"/>
      <c r="Q27" s="4"/>
      <c r="R27" s="4"/>
    </row>
    <row r="28" spans="1:59" ht="19" x14ac:dyDescent="0.2">
      <c r="A28" s="4"/>
      <c r="B28" s="409" t="s">
        <v>47</v>
      </c>
      <c r="C28" s="410"/>
      <c r="D28" s="410"/>
      <c r="E28" s="410"/>
      <c r="F28" s="410"/>
      <c r="G28" s="410"/>
      <c r="H28" s="410"/>
      <c r="I28" s="410"/>
      <c r="J28" s="410"/>
      <c r="K28" s="410"/>
      <c r="L28" s="410"/>
      <c r="M28" s="410"/>
      <c r="N28" s="410"/>
      <c r="O28" s="410"/>
      <c r="P28" s="410"/>
      <c r="Q28" s="411"/>
      <c r="R28" s="4"/>
      <c r="T28" s="273"/>
      <c r="AD28">
        <v>1</v>
      </c>
    </row>
    <row r="29" spans="1:59" ht="15" customHeight="1" x14ac:dyDescent="0.25">
      <c r="A29" s="4"/>
      <c r="B29" s="274"/>
      <c r="C29" s="230"/>
      <c r="D29" s="230"/>
      <c r="E29" s="230"/>
      <c r="F29" s="230"/>
      <c r="G29" s="230"/>
      <c r="H29" s="230"/>
      <c r="I29" s="230"/>
      <c r="J29" s="230"/>
      <c r="K29" s="230"/>
      <c r="L29" s="230"/>
      <c r="M29" s="230"/>
      <c r="N29" s="230"/>
      <c r="O29" s="230"/>
      <c r="P29" s="230"/>
      <c r="Q29" s="230"/>
      <c r="R29" s="4"/>
    </row>
    <row r="30" spans="1:59" ht="16" customHeight="1" x14ac:dyDescent="0.2">
      <c r="A30" s="4"/>
      <c r="B30" s="275" t="s">
        <v>48</v>
      </c>
      <c r="C30" s="119" t="s">
        <v>19</v>
      </c>
      <c r="D30" s="119" t="s">
        <v>20</v>
      </c>
      <c r="E30" s="119" t="s">
        <v>21</v>
      </c>
      <c r="F30" s="119" t="s">
        <v>22</v>
      </c>
      <c r="G30" s="101" t="s">
        <v>23</v>
      </c>
      <c r="H30" s="119" t="s">
        <v>24</v>
      </c>
      <c r="I30" s="230"/>
      <c r="J30" s="230"/>
      <c r="K30" s="230"/>
      <c r="L30" s="230"/>
      <c r="M30" s="230"/>
      <c r="N30" s="230"/>
      <c r="O30" s="230"/>
      <c r="P30" s="230"/>
      <c r="Q30" s="230"/>
      <c r="R30" s="4"/>
    </row>
    <row r="31" spans="1:59" ht="73.5" customHeight="1" x14ac:dyDescent="0.2">
      <c r="A31" s="4"/>
      <c r="B31" s="345" t="s">
        <v>49</v>
      </c>
      <c r="C31" s="276">
        <f>SUM(C40:C44)+SUM(C57:C61)+SUM(C74:C78)+SUM(C91:C95)+SUM(C108:C112)</f>
        <v>0</v>
      </c>
      <c r="D31" s="276">
        <f>SUM(D40:D44)+SUM(D57:D61)+SUM(D74:D78)+SUM(D91:D95)+SUM(D108:D112)</f>
        <v>0</v>
      </c>
      <c r="E31" s="276">
        <f>SUM(E40:E44)+SUM(E57:E61)+SUM(E74:E78)+SUM(E91:E95)+SUM(E108:E112)</f>
        <v>0</v>
      </c>
      <c r="F31" s="276">
        <f>SUM(F40:F44)+SUM(F57:F61)+SUM(F74:F78)+SUM(F91:F95)+SUM(F108:F112)</f>
        <v>0</v>
      </c>
      <c r="G31" s="276">
        <f>SUM(G40:G44)+SUM(G57:G61)+SUM(G74:G78)+SUM(G91:G95)+SUM(G108:G112)</f>
        <v>0</v>
      </c>
      <c r="H31" s="276">
        <f>SUM(C31:G31)</f>
        <v>0</v>
      </c>
      <c r="I31" s="230"/>
      <c r="J31" s="230"/>
      <c r="K31" s="230"/>
      <c r="L31" s="230"/>
      <c r="M31" s="230"/>
      <c r="N31" s="230"/>
      <c r="O31" s="230"/>
      <c r="P31" s="230"/>
      <c r="Q31" s="230"/>
      <c r="R31" s="4"/>
    </row>
    <row r="32" spans="1:59" x14ac:dyDescent="0.2">
      <c r="A32" s="4"/>
      <c r="B32" s="4"/>
      <c r="C32" s="4"/>
      <c r="D32" s="4"/>
      <c r="E32" s="4"/>
      <c r="F32" s="4"/>
      <c r="G32" s="4"/>
      <c r="H32" s="4"/>
      <c r="I32" s="4"/>
      <c r="J32" s="4"/>
      <c r="K32" s="4"/>
      <c r="L32" s="4"/>
      <c r="M32" s="4"/>
      <c r="N32" s="230"/>
      <c r="O32" s="4"/>
      <c r="P32" s="4"/>
      <c r="Q32" s="4"/>
      <c r="R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row>
    <row r="33" spans="1:59" x14ac:dyDescent="0.2">
      <c r="A33" s="4"/>
      <c r="B33" s="230"/>
      <c r="C33" s="230"/>
      <c r="D33" s="230"/>
      <c r="E33" s="230"/>
      <c r="F33" s="230"/>
      <c r="G33" s="230"/>
      <c r="H33" s="230"/>
      <c r="I33" s="230"/>
      <c r="J33" s="230"/>
      <c r="K33" s="230"/>
      <c r="L33" s="230"/>
      <c r="M33" s="4"/>
      <c r="N33" s="230"/>
      <c r="O33" s="230"/>
      <c r="P33" s="230"/>
      <c r="Q33" s="230"/>
      <c r="R33" s="4"/>
      <c r="AC33" s="277" t="s">
        <v>50</v>
      </c>
      <c r="AF33" s="278"/>
      <c r="AG33" s="279">
        <f>IF(AND(AC34=AC36,$AC$36=$AC34),1,0)</f>
        <v>1</v>
      </c>
      <c r="AH33" s="279">
        <f>IF(AND(AC34=AC36,$AC$53=$AC34),2,0)</f>
        <v>2</v>
      </c>
      <c r="AI33" s="279">
        <f>IF(AND(AC34=AC36,$AC$70=$AC34),3,0)</f>
        <v>3</v>
      </c>
      <c r="AJ33" s="279">
        <f>IF(AND(AC34=AC36,$AC$87=$AC34),4,0)</f>
        <v>4</v>
      </c>
      <c r="AK33" s="279">
        <f>IF(AND(AC34=AC36,$AC$104=$AC34),5,0)</f>
        <v>5</v>
      </c>
      <c r="AL33" s="279" t="s">
        <v>51</v>
      </c>
      <c r="AM33" s="280" t="s">
        <v>52</v>
      </c>
    </row>
    <row r="34" spans="1:59" ht="19" x14ac:dyDescent="0.25">
      <c r="A34" s="4"/>
      <c r="B34" s="274" t="s">
        <v>53</v>
      </c>
      <c r="C34" s="281"/>
      <c r="D34" s="281" t="s">
        <v>54</v>
      </c>
      <c r="E34" s="406"/>
      <c r="F34" s="407"/>
      <c r="G34" s="230"/>
      <c r="H34" s="230"/>
      <c r="I34" s="230"/>
      <c r="J34" s="230"/>
      <c r="K34" s="230"/>
      <c r="L34" s="230"/>
      <c r="M34" s="4"/>
      <c r="N34" s="230"/>
      <c r="O34" s="230"/>
      <c r="P34" s="230"/>
      <c r="Q34" s="230"/>
      <c r="R34" s="4"/>
      <c r="AC34">
        <f>VALUE(RIGHT(B34,1))</f>
        <v>1</v>
      </c>
      <c r="AF34" s="282" t="s">
        <v>55</v>
      </c>
      <c r="AG34">
        <f>IF(AG33&gt;0,$BB$45,0)</f>
        <v>0</v>
      </c>
      <c r="AH34">
        <f>IF(AH33&gt;0,$BB$62,0)</f>
        <v>0</v>
      </c>
      <c r="AI34">
        <f>IF(AI33&gt;0,$BB$79,0)</f>
        <v>0</v>
      </c>
      <c r="AJ34">
        <f>IF(AJ33&gt;0,$BB$96,0)</f>
        <v>0</v>
      </c>
      <c r="AK34">
        <f>IF(AK33&gt;0,$BB$113,0)</f>
        <v>0</v>
      </c>
      <c r="AL34">
        <f>SUM(AG34:AK34)</f>
        <v>0</v>
      </c>
      <c r="AM34" s="283">
        <f>ROUND(AL34/10,0)*10</f>
        <v>0</v>
      </c>
    </row>
    <row r="35" spans="1:59" x14ac:dyDescent="0.2">
      <c r="A35" s="4"/>
      <c r="B35" s="230"/>
      <c r="C35" s="230"/>
      <c r="D35" s="281" t="s">
        <v>56</v>
      </c>
      <c r="E35" s="420" t="s">
        <v>57</v>
      </c>
      <c r="F35" s="421"/>
      <c r="G35" s="230"/>
      <c r="H35" s="230"/>
      <c r="I35" s="230"/>
      <c r="J35" s="230"/>
      <c r="K35" s="230"/>
      <c r="L35" s="230"/>
      <c r="M35" s="4"/>
      <c r="N35" s="230"/>
      <c r="O35" s="230"/>
      <c r="P35" s="230"/>
      <c r="Q35" s="230"/>
      <c r="R35" s="4"/>
      <c r="AF35" s="282" t="s">
        <v>58</v>
      </c>
      <c r="AG35">
        <f>IF(AG34&gt;0,$BC$45,0)</f>
        <v>0</v>
      </c>
      <c r="AH35">
        <f>IF(AH34&gt;0,$BC$62,0)</f>
        <v>0</v>
      </c>
      <c r="AI35">
        <f>IF(AI34&gt;0,$BC$79,0)</f>
        <v>0</v>
      </c>
      <c r="AJ35">
        <f>IF(AJ34&gt;0,$BC$96,0)</f>
        <v>0</v>
      </c>
      <c r="AK35">
        <f>IF(AK34&gt;0,$BC$113,0)</f>
        <v>0</v>
      </c>
      <c r="AL35">
        <f t="shared" ref="AL35:AL37" si="4">SUM(AG35:AK35)</f>
        <v>0</v>
      </c>
      <c r="AM35" s="283">
        <f>ROUNDUP(AL35/10,0)*10</f>
        <v>0</v>
      </c>
    </row>
    <row r="36" spans="1:59" x14ac:dyDescent="0.2">
      <c r="A36" s="4"/>
      <c r="B36" s="230"/>
      <c r="C36" s="230"/>
      <c r="D36" s="281" t="s">
        <v>59</v>
      </c>
      <c r="E36" s="386" t="s">
        <v>60</v>
      </c>
      <c r="F36" s="387"/>
      <c r="G36" s="284" t="str">
        <f ca="1">IF(AE36=1,"       Le bâtiment désigné n'est pas raccordé à internet !","")</f>
        <v/>
      </c>
      <c r="H36" s="230"/>
      <c r="I36" s="230"/>
      <c r="J36" s="230"/>
      <c r="K36" s="230"/>
      <c r="L36" s="230"/>
      <c r="M36" s="4"/>
      <c r="N36" s="230"/>
      <c r="O36" s="230"/>
      <c r="P36" s="230"/>
      <c r="Q36" s="230"/>
      <c r="R36" s="4"/>
      <c r="AC36">
        <f>IF(OR(E35="non",E35="nein"),VALUE(RIGHT(E36,1)),VALUE(RIGHT(B34,1)))</f>
        <v>1</v>
      </c>
      <c r="AD36" t="str">
        <f>ADDRESS((AC36-1)*pas_vertical+ROW(E$36),COLUMN(AC36))</f>
        <v>$AC$36</v>
      </c>
      <c r="AE36" cm="1">
        <f t="array" aca="1" ref="AE36" ca="1">IF(AC36&lt;&gt;INDIRECT(ADDRESS((AC36-1)*pas_vertical+ROW(E$36),COLUMN(AC36))),1,0)</f>
        <v>0</v>
      </c>
      <c r="AF36" s="282" t="s">
        <v>61</v>
      </c>
      <c r="AG36">
        <f>IF(AG35&gt;0,$BD$45,0)</f>
        <v>0</v>
      </c>
      <c r="AH36">
        <f>IF(AH35&gt;0,$BD$62,0)</f>
        <v>0</v>
      </c>
      <c r="AI36">
        <f>IF(AI35&gt;0,$BD$79,0)</f>
        <v>0</v>
      </c>
      <c r="AJ36">
        <f>IF(AJ35&gt;0,$BD$96,0)</f>
        <v>0</v>
      </c>
      <c r="AK36">
        <f>IF(AK35&gt;0,$BD$113,0)</f>
        <v>0</v>
      </c>
      <c r="AL36">
        <f t="shared" si="4"/>
        <v>0</v>
      </c>
      <c r="AM36" s="283">
        <f t="shared" ref="AM36" si="5">ROUND(AL36/10,0)*10</f>
        <v>0</v>
      </c>
    </row>
    <row r="37" spans="1:59" x14ac:dyDescent="0.2">
      <c r="A37" s="4"/>
      <c r="B37" s="230"/>
      <c r="C37" s="230"/>
      <c r="D37" s="281"/>
      <c r="E37" s="230"/>
      <c r="F37" s="230"/>
      <c r="G37" s="230"/>
      <c r="H37" s="230"/>
      <c r="I37" s="230"/>
      <c r="J37" s="230"/>
      <c r="K37" s="230"/>
      <c r="L37" s="230"/>
      <c r="M37" s="4"/>
      <c r="N37" s="230"/>
      <c r="O37" s="230"/>
      <c r="P37" s="230"/>
      <c r="Q37" s="230"/>
      <c r="R37" s="4"/>
      <c r="T37" s="17" t="s">
        <v>62</v>
      </c>
      <c r="AF37" s="285" t="s">
        <v>63</v>
      </c>
      <c r="AG37" s="286">
        <f>IF(AG36&gt;0,$BE$45,0)</f>
        <v>0</v>
      </c>
      <c r="AH37" s="286">
        <f>IF(AH36&gt;0,$BE$62,0)</f>
        <v>0</v>
      </c>
      <c r="AI37" s="286">
        <f>IF(AI36&gt;0,$BE$79,0)</f>
        <v>0</v>
      </c>
      <c r="AJ37" s="286">
        <f>IF(AJ36&gt;0,$BE$96,0)</f>
        <v>0</v>
      </c>
      <c r="AK37" s="286">
        <f>IF(AK36&gt;0,$BE$113,0)</f>
        <v>0</v>
      </c>
      <c r="AL37" s="286">
        <f t="shared" si="4"/>
        <v>0</v>
      </c>
      <c r="AM37" s="287">
        <f>ROUNDUP(AL37/10,0)*10</f>
        <v>0</v>
      </c>
    </row>
    <row r="38" spans="1:59" ht="28" customHeight="1" x14ac:dyDescent="0.2">
      <c r="A38" s="4"/>
      <c r="B38" s="275"/>
      <c r="C38" s="383" t="s">
        <v>64</v>
      </c>
      <c r="D38" s="384"/>
      <c r="E38" s="384"/>
      <c r="F38" s="384"/>
      <c r="G38" s="385"/>
      <c r="H38" s="394" t="s">
        <v>65</v>
      </c>
      <c r="I38" s="383" t="s">
        <v>66</v>
      </c>
      <c r="J38" s="385"/>
      <c r="K38" s="383" t="s">
        <v>67</v>
      </c>
      <c r="L38" s="385"/>
      <c r="M38" s="288"/>
      <c r="N38" s="383" t="s">
        <v>68</v>
      </c>
      <c r="O38" s="384"/>
      <c r="P38" s="384"/>
      <c r="Q38" s="385"/>
      <c r="R38" s="4"/>
      <c r="T38" s="289" t="s">
        <v>69</v>
      </c>
      <c r="U38" s="277" t="s">
        <v>70</v>
      </c>
      <c r="Y38" s="277" t="s">
        <v>71</v>
      </c>
      <c r="Z38" s="277"/>
      <c r="AA38" s="277"/>
    </row>
    <row r="39" spans="1:59" ht="48" x14ac:dyDescent="0.2">
      <c r="A39" s="4"/>
      <c r="B39" s="275"/>
      <c r="C39" s="119" t="s">
        <v>19</v>
      </c>
      <c r="D39" s="119" t="s">
        <v>20</v>
      </c>
      <c r="E39" s="119" t="s">
        <v>21</v>
      </c>
      <c r="F39" s="119" t="s">
        <v>22</v>
      </c>
      <c r="G39" s="119" t="s">
        <v>23</v>
      </c>
      <c r="H39" s="395"/>
      <c r="I39" s="119" t="s">
        <v>72</v>
      </c>
      <c r="J39" s="119" t="s">
        <v>73</v>
      </c>
      <c r="K39" s="119" t="s">
        <v>74</v>
      </c>
      <c r="L39" s="119" t="s">
        <v>75</v>
      </c>
      <c r="M39" s="290"/>
      <c r="N39" s="119" t="s">
        <v>34</v>
      </c>
      <c r="O39" s="119" t="s">
        <v>76</v>
      </c>
      <c r="P39" s="119" t="s">
        <v>77</v>
      </c>
      <c r="Q39" s="119" t="s">
        <v>78</v>
      </c>
      <c r="R39" s="4"/>
      <c r="T39" s="289"/>
      <c r="U39" s="291" t="s">
        <v>36</v>
      </c>
      <c r="V39" s="291" t="s">
        <v>79</v>
      </c>
      <c r="W39" s="291" t="s">
        <v>80</v>
      </c>
      <c r="Y39" s="291" t="s">
        <v>81</v>
      </c>
      <c r="Z39" s="291" t="s">
        <v>82</v>
      </c>
      <c r="AA39" s="291" t="s">
        <v>83</v>
      </c>
      <c r="AC39" s="291" t="s">
        <v>84</v>
      </c>
      <c r="AD39" s="291" t="s">
        <v>85</v>
      </c>
      <c r="AE39" s="291" t="s">
        <v>86</v>
      </c>
      <c r="AF39" s="291" t="s">
        <v>87</v>
      </c>
      <c r="AG39" s="291" t="s">
        <v>88</v>
      </c>
      <c r="AH39" s="292" t="s">
        <v>89</v>
      </c>
      <c r="AI39" s="291" t="s">
        <v>90</v>
      </c>
      <c r="AJ39" s="291" t="s">
        <v>91</v>
      </c>
      <c r="AK39" s="291" t="s">
        <v>92</v>
      </c>
      <c r="AL39" s="292" t="s">
        <v>93</v>
      </c>
      <c r="AM39" s="291" t="s">
        <v>94</v>
      </c>
      <c r="AN39" s="291" t="s">
        <v>95</v>
      </c>
      <c r="AO39" s="291" t="s">
        <v>96</v>
      </c>
      <c r="AP39" s="292" t="s">
        <v>97</v>
      </c>
      <c r="AQ39" s="291" t="s">
        <v>98</v>
      </c>
      <c r="AR39" s="291" t="s">
        <v>99</v>
      </c>
      <c r="AS39" s="291" t="s">
        <v>100</v>
      </c>
      <c r="AT39" s="292" t="s">
        <v>101</v>
      </c>
      <c r="AU39" s="291" t="s">
        <v>102</v>
      </c>
      <c r="AV39" s="291" t="s">
        <v>103</v>
      </c>
      <c r="AW39" s="291" t="s">
        <v>104</v>
      </c>
      <c r="AX39" s="292" t="s">
        <v>105</v>
      </c>
      <c r="AY39" s="291" t="s">
        <v>106</v>
      </c>
      <c r="AZ39" s="291" t="s">
        <v>107</v>
      </c>
      <c r="BA39" s="291" t="s">
        <v>108</v>
      </c>
      <c r="BB39" s="293" t="s">
        <v>109</v>
      </c>
      <c r="BC39" s="293" t="s">
        <v>110</v>
      </c>
      <c r="BD39" s="293" t="s">
        <v>111</v>
      </c>
      <c r="BE39" s="293" t="s">
        <v>112</v>
      </c>
      <c r="BF39" s="291" t="s">
        <v>113</v>
      </c>
      <c r="BG39" s="291" t="s">
        <v>114</v>
      </c>
    </row>
    <row r="40" spans="1:59" ht="16" x14ac:dyDescent="0.2">
      <c r="A40" s="4"/>
      <c r="B40" s="294" t="s">
        <v>115</v>
      </c>
      <c r="C40" s="93"/>
      <c r="D40" s="94"/>
      <c r="E40" s="94"/>
      <c r="F40" s="94"/>
      <c r="G40" s="94"/>
      <c r="H40" s="57"/>
      <c r="I40" s="58"/>
      <c r="J40" s="58"/>
      <c r="K40" s="295">
        <f>SUM(C40:G40)+H40+(J40&gt;0)</f>
        <v>0</v>
      </c>
      <c r="L40" s="295">
        <f>3*(SUM(C40:G40)+H40)+I40+1*(J40&gt;0)</f>
        <v>0</v>
      </c>
      <c r="M40" s="296"/>
      <c r="N40" s="346"/>
      <c r="O40" s="349"/>
      <c r="P40" s="61"/>
      <c r="Q40" s="297">
        <f>O40-P40</f>
        <v>0</v>
      </c>
      <c r="R40" s="4"/>
      <c r="T40" s="289">
        <f ca="1">C40*Dotation_Déterm_1_2H+D40*Dotation_Déterm_3_4H+ROUNDUP(E40*ElevePClasse_5_6H/Dotation_Déterm_5_6H,0)+ROUNDUP(F40*ElevePClasse_7_8H/Dotation_Déterm_7_8H,0)+ROUNDUP(G40*ElevePClasse_9_11H/Dotation_Déterm_9_11H,0)</f>
        <v>0</v>
      </c>
      <c r="U40">
        <f>IF(ISTEXT(N40),VLOOKUP(N40,Syst_Rang,2,0),0)</f>
        <v>0</v>
      </c>
      <c r="V40">
        <f>U40*O40</f>
        <v>0</v>
      </c>
      <c r="W40">
        <f t="shared" ref="W40" si="6">U40*Q40</f>
        <v>0</v>
      </c>
      <c r="Y40">
        <f>L40+AA41</f>
        <v>0</v>
      </c>
      <c r="Z40">
        <f>IF(Y40&gt;22,ROUNDUP(Y40/22,0),0)</f>
        <v>0</v>
      </c>
      <c r="AA40">
        <f t="shared" ref="AA40:AA43" si="7">IF(Z40=0,Y40,0)</f>
        <v>0</v>
      </c>
      <c r="AC40">
        <f>C40*Dotation_Déterm_1_2H+D40*Dotation_Déterm_3_4H+ROUNDUP(E40*Max_ElevePClasse_5_6H/Dotation_Déterm_5_6H,0)+ROUNDUP(F40*Max_ElevePClasse_7_8H/Dotation_Déterm_7_8H,0)</f>
        <v>0</v>
      </c>
      <c r="AD40">
        <f>ROUNDUP(G40*Moy_ElevePClasse_9_11H/Dotation_Déterm_9_12H,0)</f>
        <v>0</v>
      </c>
      <c r="AE40" s="298">
        <f>SUM(C40:G40)</f>
        <v>0</v>
      </c>
      <c r="AF40" s="298">
        <f>I40</f>
        <v>0</v>
      </c>
      <c r="AG40" s="298">
        <f>$J40</f>
        <v>0</v>
      </c>
      <c r="AH40" s="282"/>
      <c r="AL40" s="282"/>
      <c r="AP40" s="282"/>
      <c r="AT40" s="282"/>
      <c r="AX40" s="282"/>
      <c r="BB40" s="282"/>
    </row>
    <row r="41" spans="1:59" ht="16" x14ac:dyDescent="0.2">
      <c r="A41" s="4"/>
      <c r="B41" s="299" t="s">
        <v>116</v>
      </c>
      <c r="C41" s="93"/>
      <c r="D41" s="94"/>
      <c r="E41" s="94"/>
      <c r="F41" s="94"/>
      <c r="G41" s="94"/>
      <c r="H41" s="57"/>
      <c r="I41" s="58"/>
      <c r="J41" s="58"/>
      <c r="K41" s="295">
        <f>SUM(C41:G41)+H41+(J41&gt;0)</f>
        <v>0</v>
      </c>
      <c r="L41" s="295">
        <f>3*(SUM(C41:G41)+H41)+I41+1*(J41&gt;0)</f>
        <v>0</v>
      </c>
      <c r="M41" s="296"/>
      <c r="N41" s="347"/>
      <c r="O41" s="102"/>
      <c r="P41" s="62"/>
      <c r="Q41" s="295">
        <f t="shared" ref="Q41:Q44" si="8">O41-P41</f>
        <v>0</v>
      </c>
      <c r="R41" s="4"/>
      <c r="T41" s="289">
        <f ca="1">C41*Dotation_Déterm_1_2H+D41*Dotation_Déterm_3_4H+ROUNDUP(E41*ElevePClasse_5_6H/Dotation_Déterm_5_6H,0)+ROUNDUP(F41*ElevePClasse_7_8H/Dotation_Déterm_7_8H,0)+ROUNDUP(G41*ElevePClasse_9_11H/Dotation_Déterm_9_11H,0)</f>
        <v>0</v>
      </c>
      <c r="U41">
        <f>IF(ISTEXT(N41),VLOOKUP(N41,Syst_Rang,2,0),0)</f>
        <v>0</v>
      </c>
      <c r="V41">
        <f t="shared" ref="V41:V44" si="9">U41*O41</f>
        <v>0</v>
      </c>
      <c r="W41">
        <f>U41*Q41</f>
        <v>0</v>
      </c>
      <c r="Y41">
        <f>L41+AA42</f>
        <v>0</v>
      </c>
      <c r="Z41">
        <f>IF(Y41+L40&gt;22,ROUNDUP(Y41/22,0),0)</f>
        <v>0</v>
      </c>
      <c r="AA41">
        <f t="shared" si="7"/>
        <v>0</v>
      </c>
      <c r="AC41">
        <f>C41*Dotation_Déterm_1_2H+D41*Dotation_Déterm_3_4H+ROUNDUP(E41*Max_ElevePClasse_5_6H/Dotation_Déterm_5_6H,0)+ROUNDUP(F41*Max_ElevePClasse_7_8H/Dotation_Déterm_7_8H,0)</f>
        <v>0</v>
      </c>
      <c r="AD41">
        <f>ROUNDUP(G41*Moy_ElevePClasse_9_11H/Dotation_Déterm_9_12H,0)</f>
        <v>0</v>
      </c>
      <c r="AE41" s="298">
        <f>SUM(C41:G41)</f>
        <v>0</v>
      </c>
      <c r="AF41" s="298">
        <f>I41</f>
        <v>0</v>
      </c>
      <c r="AG41">
        <f t="shared" ref="AG41:AG44" si="10">$J41</f>
        <v>0</v>
      </c>
      <c r="AH41" s="282"/>
      <c r="AL41" s="282"/>
      <c r="AP41" s="282"/>
      <c r="AT41" s="282"/>
      <c r="AX41" s="282"/>
      <c r="BB41" s="282"/>
    </row>
    <row r="42" spans="1:59" ht="16" x14ac:dyDescent="0.2">
      <c r="A42" s="4"/>
      <c r="B42" s="299" t="s">
        <v>117</v>
      </c>
      <c r="C42" s="93"/>
      <c r="D42" s="94"/>
      <c r="E42" s="94"/>
      <c r="F42" s="94"/>
      <c r="G42" s="94"/>
      <c r="H42" s="57"/>
      <c r="I42" s="58"/>
      <c r="J42" s="58"/>
      <c r="K42" s="295">
        <f>SUM(C42:G42)+H42+(J42&gt;0)</f>
        <v>0</v>
      </c>
      <c r="L42" s="295">
        <f>3*(SUM(C42:G42)+H42)+I42+1*(J42&gt;0)</f>
        <v>0</v>
      </c>
      <c r="M42" s="296"/>
      <c r="N42" s="347"/>
      <c r="O42" s="102"/>
      <c r="P42" s="62"/>
      <c r="Q42" s="295">
        <f t="shared" si="8"/>
        <v>0</v>
      </c>
      <c r="R42" s="4"/>
      <c r="T42" s="289">
        <f ca="1">C42*Dotation_Déterm_1_2H+D42*Dotation_Déterm_3_4H+ROUNDUP(E42*ElevePClasse_5_6H/Dotation_Déterm_5_6H,0)+ROUNDUP(F42*ElevePClasse_7_8H/Dotation_Déterm_7_8H,0)+ROUNDUP(G42*ElevePClasse_9_11H/Dotation_Déterm_9_11H,0)</f>
        <v>0</v>
      </c>
      <c r="U42">
        <f>IF(ISTEXT(N42),VLOOKUP(N42,Syst_Rang,2,0),0)</f>
        <v>0</v>
      </c>
      <c r="V42">
        <f t="shared" si="9"/>
        <v>0</v>
      </c>
      <c r="W42">
        <f t="shared" ref="W42:W44" si="11">U42*Q42</f>
        <v>0</v>
      </c>
      <c r="Y42">
        <f>L42+AA43</f>
        <v>0</v>
      </c>
      <c r="Z42">
        <f>IF(Y42+L41&gt;22,ROUNDUP(Y42/22,0),0)</f>
        <v>0</v>
      </c>
      <c r="AA42">
        <f t="shared" si="7"/>
        <v>0</v>
      </c>
      <c r="AC42">
        <f>C42*Dotation_Déterm_1_2H+D42*Dotation_Déterm_3_4H+ROUNDUP(E42*Max_ElevePClasse_5_6H/Dotation_Déterm_5_6H,0)+ROUNDUP(F42*Max_ElevePClasse_7_8H/Dotation_Déterm_7_8H,0)</f>
        <v>0</v>
      </c>
      <c r="AD42">
        <f>ROUNDUP(G42*Moy_ElevePClasse_9_11H/Dotation_Déterm_9_12H,0)</f>
        <v>0</v>
      </c>
      <c r="AE42" s="298">
        <f>SUM(C42:G42)</f>
        <v>0</v>
      </c>
      <c r="AF42" s="298">
        <f>I42</f>
        <v>0</v>
      </c>
      <c r="AG42">
        <f t="shared" si="10"/>
        <v>0</v>
      </c>
      <c r="AH42" s="282"/>
      <c r="AL42" s="282"/>
      <c r="AP42" s="282"/>
      <c r="AT42" s="282"/>
      <c r="AX42" s="282"/>
      <c r="BB42" s="282"/>
    </row>
    <row r="43" spans="1:59" ht="16" x14ac:dyDescent="0.2">
      <c r="A43" s="4"/>
      <c r="B43" s="299" t="s">
        <v>118</v>
      </c>
      <c r="C43" s="93"/>
      <c r="D43" s="94"/>
      <c r="E43" s="94"/>
      <c r="F43" s="94"/>
      <c r="G43" s="94"/>
      <c r="H43" s="57"/>
      <c r="I43" s="58"/>
      <c r="J43" s="58"/>
      <c r="K43" s="295">
        <f>SUM(C43:G43)+H43+(J43&gt;0)</f>
        <v>0</v>
      </c>
      <c r="L43" s="295">
        <f>3*(SUM(C43:G43)+H43)+I43+1*(J43&gt;0)</f>
        <v>0</v>
      </c>
      <c r="M43" s="296"/>
      <c r="N43" s="347"/>
      <c r="O43" s="102"/>
      <c r="P43" s="62"/>
      <c r="Q43" s="295">
        <f t="shared" si="8"/>
        <v>0</v>
      </c>
      <c r="R43" s="4"/>
      <c r="T43" s="289">
        <f ca="1">C43*Dotation_Déterm_1_2H+D43*Dotation_Déterm_3_4H+ROUNDUP(E43*ElevePClasse_5_6H/Dotation_Déterm_5_6H,0)+ROUNDUP(F43*ElevePClasse_7_8H/Dotation_Déterm_7_8H,0)+ROUNDUP(G43*ElevePClasse_9_11H/Dotation_Déterm_9_11H,0)</f>
        <v>0</v>
      </c>
      <c r="U43">
        <f>IF(ISTEXT(N43),VLOOKUP(N43,Syst_Rang,2,0),0)</f>
        <v>0</v>
      </c>
      <c r="V43">
        <f t="shared" si="9"/>
        <v>0</v>
      </c>
      <c r="W43">
        <f t="shared" si="11"/>
        <v>0</v>
      </c>
      <c r="Y43">
        <f>L43+AA44</f>
        <v>0</v>
      </c>
      <c r="Z43">
        <f>IF(Y43+L42&gt;22,ROUNDUP(Y43/22,0),0)</f>
        <v>0</v>
      </c>
      <c r="AA43">
        <f t="shared" si="7"/>
        <v>0</v>
      </c>
      <c r="AC43">
        <f>C43*Dotation_Déterm_1_2H+D43*Dotation_Déterm_3_4H+ROUNDUP(E43*Max_ElevePClasse_5_6H/Dotation_Déterm_5_6H,0)+ROUNDUP(F43*Max_ElevePClasse_7_8H/Dotation_Déterm_7_8H,0)</f>
        <v>0</v>
      </c>
      <c r="AD43">
        <f>ROUNDUP(G43*Moy_ElevePClasse_9_11H/Dotation_Déterm_9_12H,0)</f>
        <v>0</v>
      </c>
      <c r="AE43" s="298">
        <f>SUM(C43:G43)</f>
        <v>0</v>
      </c>
      <c r="AF43" s="298">
        <f>I43</f>
        <v>0</v>
      </c>
      <c r="AG43">
        <f t="shared" si="10"/>
        <v>0</v>
      </c>
      <c r="AH43" s="282"/>
      <c r="AL43" s="282"/>
      <c r="AP43" s="282"/>
      <c r="AT43" s="282"/>
      <c r="AX43" s="282"/>
      <c r="BB43" s="282"/>
    </row>
    <row r="44" spans="1:59" ht="16" x14ac:dyDescent="0.2">
      <c r="A44" s="4"/>
      <c r="B44" s="300" t="s">
        <v>119</v>
      </c>
      <c r="C44" s="95"/>
      <c r="D44" s="96"/>
      <c r="E44" s="96"/>
      <c r="F44" s="96"/>
      <c r="G44" s="96"/>
      <c r="H44" s="59"/>
      <c r="I44" s="60"/>
      <c r="J44" s="60"/>
      <c r="K44" s="295">
        <f>SUM(C44:G44)+H44+(J44&gt;0)</f>
        <v>0</v>
      </c>
      <c r="L44" s="295">
        <f>3*(SUM(C44:G44)+H44)+I44+1*(J44&gt;0)</f>
        <v>0</v>
      </c>
      <c r="M44" s="296"/>
      <c r="N44" s="348"/>
      <c r="O44" s="350"/>
      <c r="P44" s="63"/>
      <c r="Q44" s="301">
        <f t="shared" si="8"/>
        <v>0</v>
      </c>
      <c r="R44" s="4"/>
      <c r="T44" s="289">
        <f ca="1">C44*Dotation_Déterm_1_2H+D44*Dotation_Déterm_3_4H+ROUNDUP(E44*ElevePClasse_5_6H/Dotation_Déterm_5_6H,0)+ROUNDUP(F44*ElevePClasse_7_8H/Dotation_Déterm_7_8H,0)+ROUNDUP(G44*ElevePClasse_9_11H/Dotation_Déterm_9_11H,0)</f>
        <v>0</v>
      </c>
      <c r="U44">
        <f>IF(ISTEXT(N44),VLOOKUP(N44,Syst_Rang,2,0),0)</f>
        <v>0</v>
      </c>
      <c r="V44">
        <f t="shared" si="9"/>
        <v>0</v>
      </c>
      <c r="W44">
        <f t="shared" si="11"/>
        <v>0</v>
      </c>
      <c r="Y44">
        <f>L44</f>
        <v>0</v>
      </c>
      <c r="Z44">
        <f>IF(Y44+L43&gt;22,ROUNDUP(Y44/22,0),0)</f>
        <v>0</v>
      </c>
      <c r="AA44">
        <f>IF(Z44=0,Y44,0)</f>
        <v>0</v>
      </c>
      <c r="AC44">
        <f>C44*Dotation_Déterm_1_2H+D44*Dotation_Déterm_3_4H+ROUNDUP(E44*Max_ElevePClasse_5_6H/Dotation_Déterm_5_6H,0)+ROUNDUP(F44*Max_ElevePClasse_7_8H/Dotation_Déterm_7_8H,0)</f>
        <v>0</v>
      </c>
      <c r="AD44">
        <f>ROUNDUP(G44*Moy_ElevePClasse_9_11H/Dotation_Déterm_9_12H,0)</f>
        <v>0</v>
      </c>
      <c r="AE44" s="298">
        <f>SUM(C44:G44)</f>
        <v>0</v>
      </c>
      <c r="AF44" s="298">
        <f>I44</f>
        <v>0</v>
      </c>
      <c r="AG44">
        <f t="shared" si="10"/>
        <v>0</v>
      </c>
      <c r="AH44" s="282"/>
      <c r="AL44" s="282"/>
      <c r="AP44" s="282"/>
      <c r="AT44" s="282"/>
      <c r="AX44" s="282"/>
      <c r="BB44" s="282"/>
    </row>
    <row r="45" spans="1:59" ht="17.25" customHeight="1" thickBot="1" x14ac:dyDescent="0.25">
      <c r="A45" s="4"/>
      <c r="B45" s="302"/>
      <c r="C45" s="303"/>
      <c r="D45" s="303"/>
      <c r="E45" s="303"/>
      <c r="F45" s="303"/>
      <c r="G45" s="303"/>
      <c r="H45" s="303"/>
      <c r="I45" s="303"/>
      <c r="J45" s="304"/>
      <c r="K45" s="246">
        <f>SUM(K40:K44)</f>
        <v>0</v>
      </c>
      <c r="L45" s="246">
        <f>SUM(L40:L44)</f>
        <v>0</v>
      </c>
      <c r="M45" s="305"/>
      <c r="N45" s="338"/>
      <c r="O45" s="339">
        <f>SUM(O40:O44)</f>
        <v>0</v>
      </c>
      <c r="P45" s="339">
        <f>SUM(P40:P44)</f>
        <v>0</v>
      </c>
      <c r="Q45" s="339">
        <f>SUM(Q40:Q44)</f>
        <v>0</v>
      </c>
      <c r="R45" s="4"/>
      <c r="T45" s="289">
        <f>SUM(C45:G45)</f>
        <v>0</v>
      </c>
      <c r="U45" s="306"/>
      <c r="V45" s="306">
        <f t="shared" ref="V45" si="12">SUM(V40:V44)</f>
        <v>0</v>
      </c>
      <c r="W45" s="306">
        <f t="shared" ref="W45:AD45" si="13">SUM(W40:W44)</f>
        <v>0</v>
      </c>
      <c r="Y45">
        <f>AA40</f>
        <v>0</v>
      </c>
      <c r="Z45">
        <f>IF(L45&gt;0,MAX(1,ROUNDUP(Y45/22,0)),0)</f>
        <v>0</v>
      </c>
      <c r="AC45" s="306">
        <f t="shared" si="13"/>
        <v>0</v>
      </c>
      <c r="AD45" s="306">
        <f t="shared" si="13"/>
        <v>0</v>
      </c>
      <c r="AE45" s="306">
        <f>SUM(AE40:AE44)</f>
        <v>0</v>
      </c>
      <c r="AF45" s="306">
        <f>SUM(AF40:AF44)</f>
        <v>0</v>
      </c>
      <c r="AG45" s="306">
        <f>SUM(AG40:AG44)</f>
        <v>0</v>
      </c>
      <c r="AH45" s="307">
        <f>$AC45*INDEX(BW_ELE_1_8H,1)</f>
        <v>0</v>
      </c>
      <c r="AI45" s="306">
        <f>$AC45*INDEX(BW_ELE_1_8H,2)</f>
        <v>0</v>
      </c>
      <c r="AJ45" s="306">
        <f>$AC45*INDEX(BW_ELE_1_8H,3)</f>
        <v>0</v>
      </c>
      <c r="AK45" s="306">
        <f>$AC45*INDEX(BW_ELE_1_8H,4)</f>
        <v>0</v>
      </c>
      <c r="AL45" s="307">
        <f>$AD45*INDEX(BW_ELE_9_11H,1)</f>
        <v>0</v>
      </c>
      <c r="AM45" s="306">
        <f>$AD45*INDEX(BW_ELE_9_11H,2)</f>
        <v>0</v>
      </c>
      <c r="AN45" s="306">
        <f>$AD45*INDEX(BW_ELE_9_11H,3)</f>
        <v>0</v>
      </c>
      <c r="AO45" s="306">
        <f>$AD45*INDEX(BW_ELE_9_11H,4)</f>
        <v>0</v>
      </c>
      <c r="AP45" s="307">
        <f>$AE45*INDEX(BW_ENSEIGN,1)</f>
        <v>0</v>
      </c>
      <c r="AQ45" s="307">
        <f>$AE45*INDEX(BW_ENSEIGN,2)</f>
        <v>0</v>
      </c>
      <c r="AR45" s="307">
        <f>$AE45*INDEX(BW_ENSEIGN,3)</f>
        <v>0</v>
      </c>
      <c r="AS45" s="307">
        <f>$AE45*INDEX(BW_ENSEIGN,4)</f>
        <v>0</v>
      </c>
      <c r="AT45" s="307">
        <f>$AF45*INDEX(BW_SALLE_INFO,1)</f>
        <v>0</v>
      </c>
      <c r="AU45" s="306">
        <f>$AF45*INDEX(BW_SALLE_INFO,2)</f>
        <v>0</v>
      </c>
      <c r="AV45" s="306">
        <f>$AF45*INDEX(BW_SALLE_INFO,3)</f>
        <v>0</v>
      </c>
      <c r="AW45" s="306">
        <f>$AF45*INDEX(BW_SALLE_INFO,4)</f>
        <v>0</v>
      </c>
      <c r="AX45" s="307">
        <f>$AG45*INDEX(BW_AUTRES,1)</f>
        <v>0</v>
      </c>
      <c r="AY45" s="306">
        <f>$AG45*INDEX(BW_AUTRES,2)</f>
        <v>0</v>
      </c>
      <c r="AZ45" s="306">
        <f>$AG45*INDEX(BW_AUTRES,3)</f>
        <v>0</v>
      </c>
      <c r="BA45" s="306">
        <f>$AG45*INDEX(BW_AUTRES,4)</f>
        <v>0</v>
      </c>
      <c r="BB45" s="307">
        <f>AH45+AL45+AP45+AT45+AX45</f>
        <v>0</v>
      </c>
      <c r="BC45" s="308">
        <f>AJ45+AN45+AR45+AV45+AZ45</f>
        <v>0</v>
      </c>
      <c r="BD45" s="307">
        <f t="shared" ref="BD45" si="14">AI45+AM45+AQ45+AU45+AY45</f>
        <v>0</v>
      </c>
      <c r="BE45" s="308">
        <f>AK45+AO45+AS45+AW45+BA45</f>
        <v>0</v>
      </c>
      <c r="BF45" s="306">
        <f>IF(SUM($AC45:$AG45)&gt;0,BB45/SUM($AC45:$AG45),0)</f>
        <v>0</v>
      </c>
      <c r="BG45" s="306">
        <f>IF(SUM($AC45:$AG45)&gt;0,BD45/SUM($AC45:$AG45),0)</f>
        <v>0</v>
      </c>
    </row>
    <row r="46" spans="1:59" ht="16" customHeight="1" thickBot="1" x14ac:dyDescent="0.25">
      <c r="A46" s="4"/>
      <c r="B46" s="383" t="s">
        <v>120</v>
      </c>
      <c r="C46" s="384"/>
      <c r="D46" s="384"/>
      <c r="E46" s="384"/>
      <c r="F46" s="384"/>
      <c r="G46" s="385"/>
      <c r="H46" s="296"/>
      <c r="I46" s="119" t="s">
        <v>67</v>
      </c>
      <c r="J46" s="296"/>
      <c r="K46" s="296"/>
      <c r="L46" s="296"/>
      <c r="M46" s="296"/>
      <c r="N46" s="296"/>
      <c r="O46" s="296"/>
      <c r="P46" s="296"/>
      <c r="Q46" s="296"/>
      <c r="R46" s="4"/>
      <c r="T46" s="289"/>
      <c r="Y46" s="306"/>
      <c r="Z46" s="306">
        <f>SUM(Z40:Z45)</f>
        <v>0</v>
      </c>
      <c r="AA46" s="306"/>
    </row>
    <row r="47" spans="1:59" ht="16" customHeight="1" x14ac:dyDescent="0.2">
      <c r="A47" s="4"/>
      <c r="B47" s="396" t="s">
        <v>121</v>
      </c>
      <c r="C47" s="397"/>
      <c r="D47" s="398"/>
      <c r="E47" s="334" t="str">
        <f>IF(AM34&gt;0,AM34,"&gt; bât. "&amp;AC36)</f>
        <v>&gt; bât. 1</v>
      </c>
      <c r="F47" s="399" t="s">
        <v>122</v>
      </c>
      <c r="G47" s="400"/>
      <c r="H47" s="296"/>
      <c r="I47" s="388" t="s">
        <v>123</v>
      </c>
      <c r="J47" s="389"/>
      <c r="K47" s="390"/>
      <c r="L47" s="335">
        <f>Z46</f>
        <v>0</v>
      </c>
      <c r="M47" s="296"/>
      <c r="N47" s="4"/>
      <c r="O47" s="4"/>
      <c r="P47" s="4"/>
      <c r="Q47" s="4"/>
      <c r="R47" s="4"/>
      <c r="T47" s="289"/>
      <c r="Z47">
        <f>COUNTIF(Z40:Z45,"&gt;0")</f>
        <v>0</v>
      </c>
    </row>
    <row r="48" spans="1:59" ht="16" customHeight="1" x14ac:dyDescent="0.2">
      <c r="A48" s="4"/>
      <c r="B48" s="401" t="s">
        <v>124</v>
      </c>
      <c r="C48" s="402"/>
      <c r="D48" s="403"/>
      <c r="E48" s="336" t="str">
        <f>IF(AM36&gt;0,AM36,"&gt; bât. "&amp;AC36)</f>
        <v>&gt; bât. 1</v>
      </c>
      <c r="F48" s="404" t="str">
        <f>IF(AG34&gt;0,"1 ","") &amp; IF(AH34&gt;0,"2 ","") &amp; IF(AI34&gt;0,"3 ","") &amp; IF(AJ34&gt;0,"4 ","") &amp; IF(AK34&gt;0,"5","")</f>
        <v/>
      </c>
      <c r="G48" s="405"/>
      <c r="H48" s="296"/>
      <c r="I48" s="391" t="s">
        <v>125</v>
      </c>
      <c r="J48" s="392"/>
      <c r="K48" s="393"/>
      <c r="L48" s="337">
        <f>Z47</f>
        <v>0</v>
      </c>
      <c r="M48" s="296"/>
      <c r="N48" s="4"/>
      <c r="O48" s="4"/>
      <c r="P48" s="4"/>
      <c r="Q48" s="4"/>
      <c r="R48" s="4"/>
      <c r="T48" s="289"/>
    </row>
    <row r="49" spans="1:59" x14ac:dyDescent="0.2">
      <c r="A49" s="4"/>
      <c r="B49" s="4"/>
      <c r="C49" s="4"/>
      <c r="D49" s="4"/>
      <c r="E49" s="4"/>
      <c r="F49" s="4"/>
      <c r="G49" s="4"/>
      <c r="H49" s="4"/>
      <c r="I49" s="4"/>
      <c r="J49" s="4"/>
      <c r="K49" s="4"/>
      <c r="L49" s="4"/>
      <c r="M49" s="4"/>
      <c r="N49" s="4"/>
      <c r="O49" s="4"/>
      <c r="P49" s="4"/>
      <c r="Q49" s="4"/>
      <c r="R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row>
    <row r="50" spans="1:59" x14ac:dyDescent="0.2">
      <c r="A50" s="4"/>
      <c r="B50" s="4"/>
      <c r="C50" s="4"/>
      <c r="D50" s="4"/>
      <c r="E50" s="4"/>
      <c r="F50" s="4"/>
      <c r="G50" s="4"/>
      <c r="H50" s="4"/>
      <c r="I50" s="4"/>
      <c r="J50" s="4"/>
      <c r="K50" s="4"/>
      <c r="L50" s="4"/>
      <c r="M50" s="4"/>
      <c r="N50" s="4"/>
      <c r="O50" s="4"/>
      <c r="P50" s="4"/>
      <c r="Q50" s="4"/>
      <c r="R50" s="4"/>
      <c r="AF50" s="278"/>
      <c r="AG50" s="279">
        <f>IF(AND(AC51=AC53,$AC$36=$AC51),1,0)</f>
        <v>0</v>
      </c>
      <c r="AH50" s="279">
        <f>IF(AND(AC51=AC53,$AC$53=$AC51),2,0)</f>
        <v>0</v>
      </c>
      <c r="AI50" s="279">
        <f>IF(AND(AC51=AC53,$AC$70=$AC51),3,0)</f>
        <v>0</v>
      </c>
      <c r="AJ50" s="279">
        <f>IF(AND(AC51=AC53,$AC$87=$AC51),4,0)</f>
        <v>0</v>
      </c>
      <c r="AK50" s="279">
        <f>IF(AND(AC51=AC53,$AC$104=$AC51),5,0)</f>
        <v>0</v>
      </c>
      <c r="AL50" s="279" t="s">
        <v>51</v>
      </c>
      <c r="AM50" s="279" t="s">
        <v>52</v>
      </c>
    </row>
    <row r="51" spans="1:59" ht="19" x14ac:dyDescent="0.25">
      <c r="A51" s="4"/>
      <c r="B51" s="309" t="s">
        <v>126</v>
      </c>
      <c r="C51" s="4"/>
      <c r="D51" s="109" t="s">
        <v>54</v>
      </c>
      <c r="E51" s="418"/>
      <c r="F51" s="419"/>
      <c r="G51" s="4"/>
      <c r="H51" s="4"/>
      <c r="I51" s="4"/>
      <c r="J51" s="4"/>
      <c r="K51" s="4"/>
      <c r="L51" s="4"/>
      <c r="M51" s="4"/>
      <c r="N51" s="4"/>
      <c r="O51" s="4"/>
      <c r="P51" s="4"/>
      <c r="Q51" s="4"/>
      <c r="R51" s="4"/>
      <c r="AC51">
        <f>VALUE(RIGHT(B51,1))</f>
        <v>2</v>
      </c>
      <c r="AF51" s="282" t="s">
        <v>55</v>
      </c>
      <c r="AG51">
        <f>IF(AG50&gt;0,$BB$45,0)</f>
        <v>0</v>
      </c>
      <c r="AH51">
        <f>IF(AH50&gt;0,$BB$62,0)</f>
        <v>0</v>
      </c>
      <c r="AI51">
        <f>IF(AI50&gt;0,$BB$79,0)</f>
        <v>0</v>
      </c>
      <c r="AJ51">
        <f>IF(AJ50&gt;0,$BB$96,0)</f>
        <v>0</v>
      </c>
      <c r="AK51">
        <f>IF(AK50&gt;0,$BB$113,0)</f>
        <v>0</v>
      </c>
      <c r="AL51">
        <f>SUM(AG51:AK51)</f>
        <v>0</v>
      </c>
      <c r="AM51" s="283">
        <f>ROUND(AL51/10,0)*10</f>
        <v>0</v>
      </c>
    </row>
    <row r="52" spans="1:59" x14ac:dyDescent="0.2">
      <c r="A52" s="4"/>
      <c r="B52" s="4"/>
      <c r="C52" s="4"/>
      <c r="D52" s="281" t="s">
        <v>56</v>
      </c>
      <c r="E52" s="420" t="s">
        <v>127</v>
      </c>
      <c r="F52" s="421"/>
      <c r="G52" s="4"/>
      <c r="H52" s="4"/>
      <c r="I52" s="4"/>
      <c r="J52" s="4"/>
      <c r="K52" s="4"/>
      <c r="L52" s="4"/>
      <c r="M52" s="4"/>
      <c r="N52" s="4"/>
      <c r="O52" s="4"/>
      <c r="P52" s="4"/>
      <c r="Q52" s="4"/>
      <c r="R52" s="4"/>
      <c r="AF52" s="282" t="s">
        <v>58</v>
      </c>
      <c r="AG52">
        <f>IF(AG51&gt;0,$BC$45,0)</f>
        <v>0</v>
      </c>
      <c r="AH52">
        <f>IF(AH51&gt;0,$BC$62,0)</f>
        <v>0</v>
      </c>
      <c r="AI52">
        <f>IF(AI51&gt;0,$BC$79,0)</f>
        <v>0</v>
      </c>
      <c r="AJ52">
        <f>IF(AJ51&gt;0,$BC$96,0)</f>
        <v>0</v>
      </c>
      <c r="AK52">
        <f>IF(AK51&gt;0,$BC$113,0)</f>
        <v>0</v>
      </c>
      <c r="AL52">
        <f t="shared" ref="AL52:AL54" si="15">SUM(AG52:AK52)</f>
        <v>0</v>
      </c>
      <c r="AM52" s="283">
        <f>ROUNDUP(AL52/10,0)*10</f>
        <v>0</v>
      </c>
    </row>
    <row r="53" spans="1:59" x14ac:dyDescent="0.2">
      <c r="A53" s="4"/>
      <c r="B53" s="4"/>
      <c r="C53" s="4"/>
      <c r="D53" s="281" t="s">
        <v>59</v>
      </c>
      <c r="E53" s="386" t="s">
        <v>128</v>
      </c>
      <c r="F53" s="387"/>
      <c r="G53" s="310" t="str">
        <f ca="1">IF(AE53=1,"       Le bâtiment désigné n'est pas raccordé à internet !","")</f>
        <v/>
      </c>
      <c r="H53" s="310"/>
      <c r="I53" s="4"/>
      <c r="J53" s="4"/>
      <c r="K53" s="4"/>
      <c r="L53" s="4"/>
      <c r="M53" s="4"/>
      <c r="N53" s="4"/>
      <c r="O53" s="4"/>
      <c r="P53" s="4"/>
      <c r="Q53" s="4"/>
      <c r="R53" s="4"/>
      <c r="AC53">
        <f>IF(OR(E52="non",E52="nein"),VALUE(RIGHT(E53,1)),VALUE(RIGHT(B51,1)))</f>
        <v>1</v>
      </c>
      <c r="AD53" t="str">
        <f>ADDRESS((AC53-1)*pas_vertical+ROW(E$36),COLUMN(AC53))</f>
        <v>$AC$36</v>
      </c>
      <c r="AE53" cm="1">
        <f t="array" aca="1" ref="AE53" ca="1">IF(AC53&lt;&gt;INDIRECT(ADDRESS((AC53-1)*17+ROW(E$36),COLUMN(AC53))),1,0)</f>
        <v>0</v>
      </c>
      <c r="AF53" s="282" t="s">
        <v>61</v>
      </c>
      <c r="AG53">
        <f>IF(AG52&gt;0,$BD$45,0)</f>
        <v>0</v>
      </c>
      <c r="AH53">
        <f>IF(AH52&gt;0,$BD$62,0)</f>
        <v>0</v>
      </c>
      <c r="AI53">
        <f>IF(AI52&gt;0,$BD$79,0)</f>
        <v>0</v>
      </c>
      <c r="AJ53">
        <f>IF(AJ52&gt;0,$BD$96,0)</f>
        <v>0</v>
      </c>
      <c r="AK53">
        <f>IF(AK52&gt;0,$BD$113,0)</f>
        <v>0</v>
      </c>
      <c r="AL53">
        <f t="shared" si="15"/>
        <v>0</v>
      </c>
      <c r="AM53" s="283">
        <f t="shared" ref="AM53" si="16">ROUND(AL53/10,0)*10</f>
        <v>0</v>
      </c>
    </row>
    <row r="54" spans="1:59" x14ac:dyDescent="0.2">
      <c r="A54" s="4"/>
      <c r="B54" s="4"/>
      <c r="C54" s="4"/>
      <c r="D54" s="109"/>
      <c r="E54" s="4"/>
      <c r="F54" s="4"/>
      <c r="G54" s="4"/>
      <c r="H54" s="4"/>
      <c r="I54" s="4"/>
      <c r="J54" s="4"/>
      <c r="K54" s="4"/>
      <c r="L54" s="4"/>
      <c r="M54" s="4"/>
      <c r="N54" s="4"/>
      <c r="O54" s="4"/>
      <c r="P54" s="4"/>
      <c r="Q54" s="4"/>
      <c r="R54" s="4"/>
      <c r="T54" s="17" t="s">
        <v>62</v>
      </c>
      <c r="AF54" s="285" t="s">
        <v>63</v>
      </c>
      <c r="AG54" s="286">
        <f>IF(AG53&gt;0,$BE$45,0)</f>
        <v>0</v>
      </c>
      <c r="AH54" s="286">
        <f>IF(AH53&gt;0,$BE$62,0)</f>
        <v>0</v>
      </c>
      <c r="AI54" s="286">
        <f>IF(AI53&gt;0,$BE$79,0)</f>
        <v>0</v>
      </c>
      <c r="AJ54" s="286">
        <f>IF(AJ53&gt;0,$BE$96,0)</f>
        <v>0</v>
      </c>
      <c r="AK54" s="286">
        <f>IF(AK53&gt;0,$BE$113,0)</f>
        <v>0</v>
      </c>
      <c r="AL54" s="286">
        <f t="shared" si="15"/>
        <v>0</v>
      </c>
      <c r="AM54" s="287">
        <f>ROUNDUP(AL54/10,0)*10</f>
        <v>0</v>
      </c>
    </row>
    <row r="55" spans="1:59" ht="28" customHeight="1" x14ac:dyDescent="0.2">
      <c r="A55" s="4"/>
      <c r="B55" s="275"/>
      <c r="C55" s="383" t="s">
        <v>64</v>
      </c>
      <c r="D55" s="384"/>
      <c r="E55" s="384"/>
      <c r="F55" s="384"/>
      <c r="G55" s="385"/>
      <c r="H55" s="394" t="s">
        <v>65</v>
      </c>
      <c r="I55" s="383" t="s">
        <v>66</v>
      </c>
      <c r="J55" s="385"/>
      <c r="K55" s="383" t="s">
        <v>67</v>
      </c>
      <c r="L55" s="385"/>
      <c r="M55" s="288"/>
      <c r="N55" s="383" t="s">
        <v>68</v>
      </c>
      <c r="O55" s="384"/>
      <c r="P55" s="384"/>
      <c r="Q55" s="385"/>
      <c r="R55" s="4"/>
      <c r="T55" s="289" t="s">
        <v>69</v>
      </c>
      <c r="U55" s="277" t="s">
        <v>70</v>
      </c>
      <c r="Y55" s="277" t="s">
        <v>71</v>
      </c>
      <c r="Z55" s="277"/>
      <c r="AA55" s="277"/>
    </row>
    <row r="56" spans="1:59" ht="48" x14ac:dyDescent="0.2">
      <c r="A56" s="4"/>
      <c r="B56" s="275"/>
      <c r="C56" s="119" t="s">
        <v>19</v>
      </c>
      <c r="D56" s="119" t="s">
        <v>20</v>
      </c>
      <c r="E56" s="119" t="s">
        <v>21</v>
      </c>
      <c r="F56" s="119" t="s">
        <v>22</v>
      </c>
      <c r="G56" s="119" t="s">
        <v>23</v>
      </c>
      <c r="H56" s="395"/>
      <c r="I56" s="119" t="s">
        <v>72</v>
      </c>
      <c r="J56" s="119" t="s">
        <v>73</v>
      </c>
      <c r="K56" s="119" t="s">
        <v>74</v>
      </c>
      <c r="L56" s="119" t="s">
        <v>75</v>
      </c>
      <c r="M56" s="290"/>
      <c r="N56" s="119" t="s">
        <v>34</v>
      </c>
      <c r="O56" s="119" t="s">
        <v>76</v>
      </c>
      <c r="P56" s="119" t="s">
        <v>77</v>
      </c>
      <c r="Q56" s="119" t="s">
        <v>78</v>
      </c>
      <c r="R56" s="4"/>
      <c r="T56" s="289"/>
      <c r="U56" s="291" t="s">
        <v>36</v>
      </c>
      <c r="V56" s="291" t="s">
        <v>79</v>
      </c>
      <c r="W56" s="291" t="s">
        <v>80</v>
      </c>
      <c r="Y56" s="291" t="s">
        <v>81</v>
      </c>
      <c r="Z56" s="291" t="s">
        <v>82</v>
      </c>
      <c r="AA56" s="291" t="s">
        <v>83</v>
      </c>
      <c r="AC56" s="291" t="s">
        <v>84</v>
      </c>
      <c r="AD56" s="291" t="s">
        <v>85</v>
      </c>
      <c r="AE56" s="291" t="s">
        <v>86</v>
      </c>
      <c r="AF56" s="291" t="s">
        <v>87</v>
      </c>
      <c r="AG56" s="291" t="s">
        <v>88</v>
      </c>
      <c r="AH56" s="292" t="s">
        <v>89</v>
      </c>
      <c r="AI56" s="291" t="s">
        <v>90</v>
      </c>
      <c r="AJ56" s="291" t="s">
        <v>91</v>
      </c>
      <c r="AK56" s="291" t="s">
        <v>92</v>
      </c>
      <c r="AL56" s="292" t="s">
        <v>93</v>
      </c>
      <c r="AM56" s="291" t="s">
        <v>94</v>
      </c>
      <c r="AN56" s="291" t="s">
        <v>95</v>
      </c>
      <c r="AO56" s="291" t="s">
        <v>96</v>
      </c>
      <c r="AP56" s="292" t="s">
        <v>97</v>
      </c>
      <c r="AQ56" s="291" t="s">
        <v>98</v>
      </c>
      <c r="AR56" s="291" t="s">
        <v>99</v>
      </c>
      <c r="AS56" s="291" t="s">
        <v>100</v>
      </c>
      <c r="AT56" s="292" t="s">
        <v>101</v>
      </c>
      <c r="AU56" s="291" t="s">
        <v>102</v>
      </c>
      <c r="AV56" s="291" t="s">
        <v>103</v>
      </c>
      <c r="AW56" s="291" t="s">
        <v>104</v>
      </c>
      <c r="AX56" s="292" t="s">
        <v>105</v>
      </c>
      <c r="AY56" s="291" t="s">
        <v>106</v>
      </c>
      <c r="AZ56" s="291" t="s">
        <v>107</v>
      </c>
      <c r="BA56" s="291" t="s">
        <v>108</v>
      </c>
      <c r="BB56" s="293" t="s">
        <v>109</v>
      </c>
      <c r="BC56" s="293" t="s">
        <v>110</v>
      </c>
      <c r="BD56" s="293" t="s">
        <v>111</v>
      </c>
      <c r="BE56" s="293" t="s">
        <v>112</v>
      </c>
      <c r="BF56" s="291" t="s">
        <v>113</v>
      </c>
      <c r="BG56" s="291" t="s">
        <v>114</v>
      </c>
    </row>
    <row r="57" spans="1:59" ht="16" x14ac:dyDescent="0.2">
      <c r="A57" s="4"/>
      <c r="B57" s="294" t="s">
        <v>115</v>
      </c>
      <c r="C57" s="93"/>
      <c r="D57" s="94"/>
      <c r="E57" s="94"/>
      <c r="F57" s="94"/>
      <c r="G57" s="94"/>
      <c r="H57" s="57"/>
      <c r="I57" s="58"/>
      <c r="J57" s="58"/>
      <c r="K57" s="295">
        <f>SUM(C57:G57)+H57+(J57&gt;0)</f>
        <v>0</v>
      </c>
      <c r="L57" s="295">
        <f>3*(SUM(C57:G57)+H57)+I57+1*(J57&gt;0)</f>
        <v>0</v>
      </c>
      <c r="M57" s="296"/>
      <c r="N57" s="346"/>
      <c r="O57" s="349"/>
      <c r="P57" s="61"/>
      <c r="Q57" s="297">
        <f>O57-P57</f>
        <v>0</v>
      </c>
      <c r="R57" s="4"/>
      <c r="T57" s="289">
        <f ca="1">C57*Dotation_Déterm_1_2H+D57*Dotation_Déterm_3_4H+ROUNDUP(E57*ElevePClasse_5_6H/Dotation_Déterm_5_6H,0)+ROUNDUP(F57*ElevePClasse_7_8H/Dotation_Déterm_7_8H,0)+ROUNDUP(G57*ElevePClasse_9_11H/Dotation_Déterm_9_11H,0)</f>
        <v>0</v>
      </c>
      <c r="U57">
        <f>IF(ISTEXT(N57),VLOOKUP(N57,Syst_Rang,2,0),0)</f>
        <v>0</v>
      </c>
      <c r="V57">
        <f>U57*O57</f>
        <v>0</v>
      </c>
      <c r="W57">
        <f t="shared" ref="W57" si="17">U57*Q57</f>
        <v>0</v>
      </c>
      <c r="Y57">
        <f>L57+AA58</f>
        <v>0</v>
      </c>
      <c r="Z57">
        <f>IF(Y57&gt;22,ROUNDUP(Y57/22,0),0)</f>
        <v>0</v>
      </c>
      <c r="AA57">
        <f t="shared" ref="AA57:AA60" si="18">IF(Z57=0,Y57,0)</f>
        <v>0</v>
      </c>
      <c r="AC57">
        <f>C57*Dotation_Déterm_1_2H+D57*Dotation_Déterm_3_4H+ROUNDUP(E57*Max_ElevePClasse_5_6H/Dotation_Déterm_5_6H,0)+ROUNDUP(F57*Max_ElevePClasse_7_8H/Dotation_Déterm_7_8H,0)</f>
        <v>0</v>
      </c>
      <c r="AD57">
        <f>ROUNDUP(G57*Moy_ElevePClasse_9_11H/Dotation_Déterm_9_12H,0)</f>
        <v>0</v>
      </c>
      <c r="AE57" s="298">
        <f>SUM(C57:G57)</f>
        <v>0</v>
      </c>
      <c r="AF57" s="298">
        <f>I57</f>
        <v>0</v>
      </c>
      <c r="AG57" s="298">
        <f>$J57</f>
        <v>0</v>
      </c>
      <c r="AH57" s="282"/>
      <c r="AL57" s="282"/>
      <c r="AP57" s="282"/>
      <c r="AT57" s="282"/>
      <c r="AX57" s="282"/>
      <c r="BB57" s="282"/>
    </row>
    <row r="58" spans="1:59" ht="16" x14ac:dyDescent="0.2">
      <c r="A58" s="4"/>
      <c r="B58" s="299" t="s">
        <v>116</v>
      </c>
      <c r="C58" s="93"/>
      <c r="D58" s="94"/>
      <c r="E58" s="94"/>
      <c r="F58" s="94"/>
      <c r="G58" s="94"/>
      <c r="H58" s="57"/>
      <c r="I58" s="58"/>
      <c r="J58" s="58"/>
      <c r="K58" s="295">
        <f>SUM(C58:G58)+H58+(J58&gt;0)</f>
        <v>0</v>
      </c>
      <c r="L58" s="295">
        <f>3*(SUM(C58:G58)+H58)+I58+1*(J58&gt;0)</f>
        <v>0</v>
      </c>
      <c r="M58" s="296"/>
      <c r="N58" s="347"/>
      <c r="O58" s="102"/>
      <c r="P58" s="62"/>
      <c r="Q58" s="295">
        <f t="shared" ref="Q58:Q61" si="19">O58-P58</f>
        <v>0</v>
      </c>
      <c r="R58" s="4"/>
      <c r="T58" s="289">
        <f ca="1">C58*Dotation_Déterm_1_2H+D58*Dotation_Déterm_3_4H+ROUNDUP(E58*ElevePClasse_5_6H/Dotation_Déterm_5_6H,0)+ROUNDUP(F58*ElevePClasse_7_8H/Dotation_Déterm_7_8H,0)+ROUNDUP(G58*ElevePClasse_9_11H/Dotation_Déterm_9_11H,0)</f>
        <v>0</v>
      </c>
      <c r="U58">
        <f>IF(ISTEXT(N58),VLOOKUP(N58,Syst_Rang,2,0),0)</f>
        <v>0</v>
      </c>
      <c r="V58">
        <f t="shared" ref="V58:V61" si="20">U58*O58</f>
        <v>0</v>
      </c>
      <c r="W58">
        <f>U58*Q58</f>
        <v>0</v>
      </c>
      <c r="Y58">
        <f>L58+AA59</f>
        <v>0</v>
      </c>
      <c r="Z58">
        <f>IF(Y58+L57&gt;22,ROUNDUP(Y58/22,0),0)</f>
        <v>0</v>
      </c>
      <c r="AA58">
        <f t="shared" si="18"/>
        <v>0</v>
      </c>
      <c r="AC58">
        <f>C58*Dotation_Déterm_1_2H+D58*Dotation_Déterm_3_4H+ROUNDUP(E58*Max_ElevePClasse_5_6H/Dotation_Déterm_5_6H,0)+ROUNDUP(F58*Max_ElevePClasse_7_8H/Dotation_Déterm_7_8H,0)</f>
        <v>0</v>
      </c>
      <c r="AD58">
        <f>ROUNDUP(G58*Moy_ElevePClasse_9_11H/Dotation_Déterm_9_12H,0)</f>
        <v>0</v>
      </c>
      <c r="AE58" s="298">
        <f>SUM(C58:G58)</f>
        <v>0</v>
      </c>
      <c r="AF58" s="298">
        <f>I58</f>
        <v>0</v>
      </c>
      <c r="AG58" s="298">
        <f t="shared" ref="AG58:AG61" si="21">$J58</f>
        <v>0</v>
      </c>
      <c r="AH58" s="282"/>
      <c r="AL58" s="282"/>
      <c r="AP58" s="282"/>
      <c r="AT58" s="282"/>
      <c r="AX58" s="282"/>
      <c r="BB58" s="282"/>
    </row>
    <row r="59" spans="1:59" ht="16" x14ac:dyDescent="0.2">
      <c r="A59" s="4"/>
      <c r="B59" s="299" t="s">
        <v>117</v>
      </c>
      <c r="C59" s="93"/>
      <c r="D59" s="94"/>
      <c r="E59" s="94"/>
      <c r="F59" s="94"/>
      <c r="G59" s="94"/>
      <c r="H59" s="57"/>
      <c r="I59" s="58"/>
      <c r="J59" s="58"/>
      <c r="K59" s="295">
        <f>SUM(C59:G59)+H59+(J59&gt;0)</f>
        <v>0</v>
      </c>
      <c r="L59" s="295">
        <f>3*(SUM(C59:G59)+H59)+I59+1*(J59&gt;0)</f>
        <v>0</v>
      </c>
      <c r="M59" s="296"/>
      <c r="N59" s="347"/>
      <c r="O59" s="102"/>
      <c r="P59" s="62"/>
      <c r="Q59" s="295">
        <f t="shared" si="19"/>
        <v>0</v>
      </c>
      <c r="R59" s="4"/>
      <c r="T59" s="289">
        <f ca="1">C59*Dotation_Déterm_1_2H+D59*Dotation_Déterm_3_4H+ROUNDUP(E59*ElevePClasse_5_6H/Dotation_Déterm_5_6H,0)+ROUNDUP(F59*ElevePClasse_7_8H/Dotation_Déterm_7_8H,0)+ROUNDUP(G59*ElevePClasse_9_11H/Dotation_Déterm_9_11H,0)</f>
        <v>0</v>
      </c>
      <c r="U59">
        <f>IF(ISTEXT(N59),VLOOKUP(N59,Syst_Rang,2,0),0)</f>
        <v>0</v>
      </c>
      <c r="V59">
        <f t="shared" si="20"/>
        <v>0</v>
      </c>
      <c r="W59">
        <f t="shared" ref="W59:W61" si="22">U59*Q59</f>
        <v>0</v>
      </c>
      <c r="Y59">
        <f>L59+AA60</f>
        <v>0</v>
      </c>
      <c r="Z59">
        <f>IF(Y59+L58&gt;22,ROUNDUP(Y59/22,0),0)</f>
        <v>0</v>
      </c>
      <c r="AA59">
        <f t="shared" si="18"/>
        <v>0</v>
      </c>
      <c r="AC59">
        <f>C59*Dotation_Déterm_1_2H+D59*Dotation_Déterm_3_4H+ROUNDUP(E59*Max_ElevePClasse_5_6H/Dotation_Déterm_5_6H,0)+ROUNDUP(F59*Max_ElevePClasse_7_8H/Dotation_Déterm_7_8H,0)</f>
        <v>0</v>
      </c>
      <c r="AD59">
        <f>ROUNDUP(G59*Moy_ElevePClasse_9_11H/Dotation_Déterm_9_12H,0)</f>
        <v>0</v>
      </c>
      <c r="AE59" s="298">
        <f>SUM(C59:G59)</f>
        <v>0</v>
      </c>
      <c r="AF59" s="298">
        <f>I59</f>
        <v>0</v>
      </c>
      <c r="AG59" s="298">
        <f t="shared" si="21"/>
        <v>0</v>
      </c>
      <c r="AH59" s="282"/>
      <c r="AL59" s="282"/>
      <c r="AP59" s="282"/>
      <c r="AT59" s="282"/>
      <c r="AX59" s="282"/>
      <c r="BB59" s="282"/>
    </row>
    <row r="60" spans="1:59" ht="16" x14ac:dyDescent="0.2">
      <c r="A60" s="4"/>
      <c r="B60" s="299" t="s">
        <v>118</v>
      </c>
      <c r="C60" s="93"/>
      <c r="D60" s="94"/>
      <c r="E60" s="94"/>
      <c r="F60" s="94"/>
      <c r="G60" s="94"/>
      <c r="H60" s="57"/>
      <c r="I60" s="58"/>
      <c r="J60" s="58"/>
      <c r="K60" s="295">
        <f>SUM(C60:G60)+H60+(J60&gt;0)</f>
        <v>0</v>
      </c>
      <c r="L60" s="295">
        <f>3*(SUM(C60:G60)+H60)+I60+1*(J60&gt;0)</f>
        <v>0</v>
      </c>
      <c r="M60" s="296"/>
      <c r="N60" s="347"/>
      <c r="O60" s="102"/>
      <c r="P60" s="62"/>
      <c r="Q60" s="295">
        <f t="shared" si="19"/>
        <v>0</v>
      </c>
      <c r="R60" s="4"/>
      <c r="T60" s="289">
        <f ca="1">C60*Dotation_Déterm_1_2H+D60*Dotation_Déterm_3_4H+ROUNDUP(E60*ElevePClasse_5_6H/Dotation_Déterm_5_6H,0)+ROUNDUP(F60*ElevePClasse_7_8H/Dotation_Déterm_7_8H,0)+ROUNDUP(G60*ElevePClasse_9_11H/Dotation_Déterm_9_11H,0)</f>
        <v>0</v>
      </c>
      <c r="U60">
        <f>IF(ISTEXT(N60),VLOOKUP(N60,Syst_Rang,2,0),0)</f>
        <v>0</v>
      </c>
      <c r="V60">
        <f t="shared" si="20"/>
        <v>0</v>
      </c>
      <c r="W60">
        <f t="shared" si="22"/>
        <v>0</v>
      </c>
      <c r="Y60">
        <f>L60+AA61</f>
        <v>0</v>
      </c>
      <c r="Z60">
        <f>IF(Y60+L59&gt;22,ROUNDUP(Y60/22,0),0)</f>
        <v>0</v>
      </c>
      <c r="AA60">
        <f t="shared" si="18"/>
        <v>0</v>
      </c>
      <c r="AC60">
        <f>C60*Dotation_Déterm_1_2H+D60*Dotation_Déterm_3_4H+ROUNDUP(E60*Max_ElevePClasse_5_6H/Dotation_Déterm_5_6H,0)+ROUNDUP(F60*Max_ElevePClasse_7_8H/Dotation_Déterm_7_8H,0)</f>
        <v>0</v>
      </c>
      <c r="AD60">
        <f>ROUNDUP(G60*Moy_ElevePClasse_9_11H/Dotation_Déterm_9_12H,0)</f>
        <v>0</v>
      </c>
      <c r="AE60" s="298">
        <f>SUM(C60:G60)</f>
        <v>0</v>
      </c>
      <c r="AF60" s="298">
        <f>I60</f>
        <v>0</v>
      </c>
      <c r="AG60" s="298">
        <f t="shared" si="21"/>
        <v>0</v>
      </c>
      <c r="AH60" s="282"/>
      <c r="AL60" s="282"/>
      <c r="AP60" s="282"/>
      <c r="AT60" s="282"/>
      <c r="AX60" s="282"/>
      <c r="BB60" s="282"/>
    </row>
    <row r="61" spans="1:59" ht="16" x14ac:dyDescent="0.2">
      <c r="A61" s="4"/>
      <c r="B61" s="300" t="s">
        <v>119</v>
      </c>
      <c r="C61" s="95"/>
      <c r="D61" s="96"/>
      <c r="E61" s="96"/>
      <c r="F61" s="96"/>
      <c r="G61" s="96"/>
      <c r="H61" s="59"/>
      <c r="I61" s="60"/>
      <c r="J61" s="60"/>
      <c r="K61" s="295">
        <f>SUM(C61:G61)+H61+(J61&gt;0)</f>
        <v>0</v>
      </c>
      <c r="L61" s="295">
        <f>3*(SUM(C61:G61)+H61)+I61+1*(J61&gt;0)</f>
        <v>0</v>
      </c>
      <c r="M61" s="296"/>
      <c r="N61" s="348"/>
      <c r="O61" s="350"/>
      <c r="P61" s="63"/>
      <c r="Q61" s="301">
        <f t="shared" si="19"/>
        <v>0</v>
      </c>
      <c r="R61" s="4"/>
      <c r="T61" s="289">
        <f ca="1">C61*Dotation_Déterm_1_2H+D61*Dotation_Déterm_3_4H+ROUNDUP(E61*ElevePClasse_5_6H/Dotation_Déterm_5_6H,0)+ROUNDUP(F61*ElevePClasse_7_8H/Dotation_Déterm_7_8H,0)+ROUNDUP(G61*ElevePClasse_9_11H/Dotation_Déterm_9_11H,0)</f>
        <v>0</v>
      </c>
      <c r="U61">
        <f>IF(ISTEXT(N61),VLOOKUP(N61,Syst_Rang,2,0),0)</f>
        <v>0</v>
      </c>
      <c r="V61">
        <f t="shared" si="20"/>
        <v>0</v>
      </c>
      <c r="W61">
        <f t="shared" si="22"/>
        <v>0</v>
      </c>
      <c r="Y61">
        <f>L61</f>
        <v>0</v>
      </c>
      <c r="Z61">
        <f>IF(Y61+L60&gt;22,ROUNDUP(Y61/22,0),0)</f>
        <v>0</v>
      </c>
      <c r="AA61">
        <f>IF(Z61=0,Y61,0)</f>
        <v>0</v>
      </c>
      <c r="AC61">
        <f>C61*Dotation_Déterm_1_2H+D61*Dotation_Déterm_3_4H+ROUNDUP(E61*Max_ElevePClasse_5_6H/Dotation_Déterm_5_6H,0)+ROUNDUP(F61*Max_ElevePClasse_7_8H/Dotation_Déterm_7_8H,0)</f>
        <v>0</v>
      </c>
      <c r="AD61">
        <f>ROUNDUP(G61*Moy_ElevePClasse_9_11H/Dotation_Déterm_9_12H,0)</f>
        <v>0</v>
      </c>
      <c r="AE61" s="298">
        <f>SUM(C61:G61)</f>
        <v>0</v>
      </c>
      <c r="AF61" s="298">
        <f>I61</f>
        <v>0</v>
      </c>
      <c r="AG61" s="298">
        <f t="shared" si="21"/>
        <v>0</v>
      </c>
      <c r="AH61" s="282"/>
      <c r="AL61" s="282"/>
      <c r="AP61" s="282"/>
      <c r="AT61" s="282"/>
      <c r="AX61" s="282"/>
      <c r="BB61" s="282"/>
    </row>
    <row r="62" spans="1:59" ht="16" customHeight="1" thickBot="1" x14ac:dyDescent="0.25">
      <c r="A62" s="4"/>
      <c r="B62" s="302"/>
      <c r="C62" s="303"/>
      <c r="D62" s="303"/>
      <c r="E62" s="303"/>
      <c r="F62" s="303"/>
      <c r="G62" s="303"/>
      <c r="H62" s="303"/>
      <c r="I62" s="303"/>
      <c r="J62" s="304"/>
      <c r="K62" s="246">
        <f>SUM(K57:K61)</f>
        <v>0</v>
      </c>
      <c r="L62" s="246">
        <f>SUM(L57:L61)</f>
        <v>0</v>
      </c>
      <c r="M62" s="305"/>
      <c r="N62" s="296"/>
      <c r="O62" s="339">
        <f>SUM(O57:O61)</f>
        <v>0</v>
      </c>
      <c r="P62" s="339">
        <f>SUM(P57:P61)</f>
        <v>0</v>
      </c>
      <c r="Q62" s="339">
        <f>SUM(Q57:Q61)</f>
        <v>0</v>
      </c>
      <c r="R62" s="4"/>
      <c r="T62" s="289">
        <f>SUM(C62:G62)</f>
        <v>0</v>
      </c>
      <c r="U62" s="306"/>
      <c r="V62" s="306">
        <f t="shared" ref="V62:W62" si="23">SUM(V57:V61)</f>
        <v>0</v>
      </c>
      <c r="W62" s="306">
        <f t="shared" si="23"/>
        <v>0</v>
      </c>
      <c r="Y62">
        <f>AA57</f>
        <v>0</v>
      </c>
      <c r="Z62">
        <f>IF(L62&gt;0,MAX(1,ROUNDUP(Y62/22,0)),0)</f>
        <v>0</v>
      </c>
      <c r="AC62" s="306">
        <f t="shared" ref="AC62" si="24">SUM(AC57:AC61)</f>
        <v>0</v>
      </c>
      <c r="AD62" s="306">
        <f t="shared" ref="AD62" si="25">SUM(AD57:AD61)</f>
        <v>0</v>
      </c>
      <c r="AE62" s="306">
        <f>SUM(AE57:AE61)</f>
        <v>0</v>
      </c>
      <c r="AF62" s="306">
        <f>SUM(AF57:AF61)</f>
        <v>0</v>
      </c>
      <c r="AG62" s="306">
        <f>SUM(AG57:AG61)</f>
        <v>0</v>
      </c>
      <c r="AH62" s="307">
        <f>$AC62*INDEX(BW_ELE_1_8H,1)</f>
        <v>0</v>
      </c>
      <c r="AI62" s="306">
        <f>$AC62*INDEX(BW_ELE_1_8H,2)</f>
        <v>0</v>
      </c>
      <c r="AJ62" s="306">
        <f>$AC62*INDEX(BW_ELE_1_8H,3)</f>
        <v>0</v>
      </c>
      <c r="AK62" s="306">
        <f>$AC62*INDEX(BW_ELE_1_8H,4)</f>
        <v>0</v>
      </c>
      <c r="AL62" s="307">
        <f>$AD62*INDEX(BW_ELE_9_11H,1)</f>
        <v>0</v>
      </c>
      <c r="AM62" s="306">
        <f>$AD62*INDEX(BW_ELE_9_11H,2)</f>
        <v>0</v>
      </c>
      <c r="AN62" s="306">
        <f>$AD62*INDEX(BW_ELE_9_11H,3)</f>
        <v>0</v>
      </c>
      <c r="AO62" s="306">
        <f>$AD62*INDEX(BW_ELE_9_11H,4)</f>
        <v>0</v>
      </c>
      <c r="AP62" s="307">
        <f>$AE62*INDEX(BW_ENSEIGN,1)</f>
        <v>0</v>
      </c>
      <c r="AQ62" s="307">
        <f>$AE62*INDEX(BW_ENSEIGN,2)</f>
        <v>0</v>
      </c>
      <c r="AR62" s="307">
        <f>$AE62*INDEX(BW_ENSEIGN,3)</f>
        <v>0</v>
      </c>
      <c r="AS62" s="307">
        <f>$AE62*INDEX(BW_ENSEIGN,4)</f>
        <v>0</v>
      </c>
      <c r="AT62" s="307">
        <f>$AF62*INDEX(BW_SALLE_INFO,1)</f>
        <v>0</v>
      </c>
      <c r="AU62" s="306">
        <f>$AF62*INDEX(BW_SALLE_INFO,2)</f>
        <v>0</v>
      </c>
      <c r="AV62" s="306">
        <f>$AF62*INDEX(BW_SALLE_INFO,3)</f>
        <v>0</v>
      </c>
      <c r="AW62" s="306">
        <f>$AF62*INDEX(BW_SALLE_INFO,4)</f>
        <v>0</v>
      </c>
      <c r="AX62" s="307">
        <f>$AG62*INDEX(BW_AUTRES,1)</f>
        <v>0</v>
      </c>
      <c r="AY62" s="306">
        <f>$AG62*INDEX(BW_AUTRES,2)</f>
        <v>0</v>
      </c>
      <c r="AZ62" s="306">
        <f>$AG62*INDEX(BW_AUTRES,3)</f>
        <v>0</v>
      </c>
      <c r="BA62" s="306">
        <f>$AG62*INDEX(BW_AUTRES,4)</f>
        <v>0</v>
      </c>
      <c r="BB62" s="307">
        <f>AH62+AL62+AP62+AT62+AX62</f>
        <v>0</v>
      </c>
      <c r="BC62" s="308">
        <f>AJ62+AN62+AR62+AV62+AZ62</f>
        <v>0</v>
      </c>
      <c r="BD62" s="307">
        <f t="shared" ref="BD62" si="26">AI62+AM62+AQ62+AU62+AY62</f>
        <v>0</v>
      </c>
      <c r="BE62" s="308">
        <f>AK62+AO62+AS62+AW62+BA62</f>
        <v>0</v>
      </c>
      <c r="BF62" s="306">
        <f>IF(SUM($AC62:$AG62)&gt;0,BB62/SUM($AC62:$AG62),0)</f>
        <v>0</v>
      </c>
      <c r="BG62" s="306">
        <f>IF(SUM($AC62:$AG62)&gt;0,BD62/SUM($AC62:$AG62),0)</f>
        <v>0</v>
      </c>
    </row>
    <row r="63" spans="1:59" ht="17" thickBot="1" x14ac:dyDescent="0.25">
      <c r="A63" s="4"/>
      <c r="B63" s="383" t="s">
        <v>120</v>
      </c>
      <c r="C63" s="384"/>
      <c r="D63" s="384"/>
      <c r="E63" s="384"/>
      <c r="F63" s="384"/>
      <c r="G63" s="385"/>
      <c r="H63" s="296"/>
      <c r="I63" s="119" t="s">
        <v>67</v>
      </c>
      <c r="J63" s="296"/>
      <c r="K63" s="296"/>
      <c r="L63" s="296"/>
      <c r="M63" s="296"/>
      <c r="N63" s="296"/>
      <c r="O63" s="296"/>
      <c r="P63" s="296"/>
      <c r="Q63" s="296"/>
      <c r="R63" s="4"/>
      <c r="T63" s="289"/>
      <c r="Y63" s="306"/>
      <c r="Z63" s="306">
        <f>SUM(Z57:Z62)</f>
        <v>0</v>
      </c>
      <c r="AA63" s="306"/>
    </row>
    <row r="64" spans="1:59" ht="16" customHeight="1" x14ac:dyDescent="0.2">
      <c r="A64" s="4"/>
      <c r="B64" s="396" t="s">
        <v>121</v>
      </c>
      <c r="C64" s="397"/>
      <c r="D64" s="398"/>
      <c r="E64" s="334" t="str">
        <f>IF(AM51&gt;0,AM51,"&gt; bât. "&amp;AC53)</f>
        <v>&gt; bât. 1</v>
      </c>
      <c r="F64" s="399" t="s">
        <v>122</v>
      </c>
      <c r="G64" s="400"/>
      <c r="H64" s="296"/>
      <c r="I64" s="388" t="s">
        <v>123</v>
      </c>
      <c r="J64" s="389"/>
      <c r="K64" s="390"/>
      <c r="L64" s="335">
        <f>Z63</f>
        <v>0</v>
      </c>
      <c r="M64" s="296"/>
      <c r="N64" s="4"/>
      <c r="O64" s="4"/>
      <c r="P64" s="4"/>
      <c r="Q64" s="4"/>
      <c r="R64" s="4"/>
      <c r="T64" s="289"/>
      <c r="Z64">
        <f>COUNTIF(Z57:Z62,"&gt;0")</f>
        <v>0</v>
      </c>
    </row>
    <row r="65" spans="1:60" ht="16" customHeight="1" x14ac:dyDescent="0.2">
      <c r="A65" s="4"/>
      <c r="B65" s="401" t="s">
        <v>124</v>
      </c>
      <c r="C65" s="402"/>
      <c r="D65" s="403"/>
      <c r="E65" s="336" t="str">
        <f>IF(AM53&gt;0,AM53,"&gt; bât. "&amp;AC53)</f>
        <v>&gt; bât. 1</v>
      </c>
      <c r="F65" s="404" t="str">
        <f>IF(AG51&gt;0,"1 ","") &amp; IF(AH51&gt;0,"2 ","") &amp; IF(AI51&gt;0,"3 ","") &amp; IF(AJ51&gt;0,"4 ","") &amp; IF(AK51&gt;0,"5","")</f>
        <v/>
      </c>
      <c r="G65" s="405"/>
      <c r="H65" s="296"/>
      <c r="I65" s="391" t="s">
        <v>125</v>
      </c>
      <c r="J65" s="392"/>
      <c r="K65" s="393"/>
      <c r="L65" s="337">
        <f>Z64</f>
        <v>0</v>
      </c>
      <c r="M65" s="296"/>
      <c r="N65" s="4"/>
      <c r="O65" s="4"/>
      <c r="P65" s="4"/>
      <c r="Q65" s="4"/>
      <c r="R65" s="4"/>
      <c r="T65" s="289"/>
      <c r="AL65" s="193"/>
      <c r="AN65" s="193"/>
    </row>
    <row r="66" spans="1:60" x14ac:dyDescent="0.2">
      <c r="A66" s="4"/>
      <c r="B66" s="4"/>
      <c r="C66" s="4"/>
      <c r="D66" s="4"/>
      <c r="E66" s="4"/>
      <c r="F66" s="4"/>
      <c r="G66" s="4"/>
      <c r="H66" s="4"/>
      <c r="I66" s="4"/>
      <c r="J66" s="4"/>
      <c r="K66" s="4"/>
      <c r="L66" s="4"/>
      <c r="M66" s="4"/>
      <c r="N66" s="4"/>
      <c r="O66" s="4"/>
      <c r="P66" s="4"/>
      <c r="Q66" s="4"/>
      <c r="R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row>
    <row r="67" spans="1:60" x14ac:dyDescent="0.2">
      <c r="A67" s="4"/>
      <c r="B67" s="4"/>
      <c r="C67" s="4"/>
      <c r="D67" s="4"/>
      <c r="E67" s="4"/>
      <c r="F67" s="4"/>
      <c r="G67" s="4"/>
      <c r="H67" s="4"/>
      <c r="I67" s="4"/>
      <c r="J67" s="4"/>
      <c r="K67" s="4"/>
      <c r="L67" s="4"/>
      <c r="M67" s="4"/>
      <c r="N67" s="4"/>
      <c r="O67" s="4"/>
      <c r="P67" s="4"/>
      <c r="Q67" s="4"/>
      <c r="R67" s="4"/>
      <c r="AF67" s="278"/>
      <c r="AG67" s="279">
        <f>IF(AND(AC68=AC70,$AC$36=$AC68),1,0)</f>
        <v>0</v>
      </c>
      <c r="AH67" s="279">
        <f>IF(AND(AC68=AC70,$AC$53=$AC68),2,0)</f>
        <v>0</v>
      </c>
      <c r="AI67" s="279">
        <f>IF(AND(AC68=AC70,$AC$70=$AC68),3,0)</f>
        <v>0</v>
      </c>
      <c r="AJ67" s="279">
        <f>IF(AND(AC68=AC70,$AC$87=$AC68),4,0)</f>
        <v>0</v>
      </c>
      <c r="AK67" s="279">
        <f>IF(AND(AC68=AC70,$AC$104=$AC68),5,0)</f>
        <v>0</v>
      </c>
      <c r="AL67" s="279" t="s">
        <v>51</v>
      </c>
      <c r="AM67" s="280" t="s">
        <v>52</v>
      </c>
    </row>
    <row r="68" spans="1:60" ht="19" x14ac:dyDescent="0.25">
      <c r="A68" s="4"/>
      <c r="B68" s="309" t="s">
        <v>129</v>
      </c>
      <c r="C68" s="4"/>
      <c r="D68" s="109" t="s">
        <v>54</v>
      </c>
      <c r="E68" s="434"/>
      <c r="F68" s="434"/>
      <c r="G68" s="4"/>
      <c r="H68" s="4"/>
      <c r="I68" s="4"/>
      <c r="J68" s="4"/>
      <c r="K68" s="4"/>
      <c r="L68" s="4"/>
      <c r="M68" s="4"/>
      <c r="N68" s="4"/>
      <c r="O68" s="4"/>
      <c r="P68" s="4"/>
      <c r="Q68" s="4"/>
      <c r="R68" s="4"/>
      <c r="AC68">
        <f>VALUE(RIGHT(B68,1))</f>
        <v>3</v>
      </c>
      <c r="AF68" s="282" t="s">
        <v>55</v>
      </c>
      <c r="AG68">
        <f>IF(AG67&gt;0,$BB$45,0)</f>
        <v>0</v>
      </c>
      <c r="AH68">
        <f>IF(AH67&gt;0,$BB$62,0)</f>
        <v>0</v>
      </c>
      <c r="AI68">
        <f>IF(AI67&gt;0,$BB$79,0)</f>
        <v>0</v>
      </c>
      <c r="AJ68">
        <f>IF(AJ67&gt;0,$BB$96,0)</f>
        <v>0</v>
      </c>
      <c r="AK68">
        <f>IF(AK67&gt;0,$BB$113,0)</f>
        <v>0</v>
      </c>
      <c r="AL68">
        <f>SUM(AG68:AK68)</f>
        <v>0</v>
      </c>
      <c r="AM68" s="283">
        <f>ROUND(AL68/10,0)*10</f>
        <v>0</v>
      </c>
    </row>
    <row r="69" spans="1:60" x14ac:dyDescent="0.2">
      <c r="A69" s="4"/>
      <c r="B69" s="4"/>
      <c r="C69" s="4"/>
      <c r="D69" s="281" t="s">
        <v>56</v>
      </c>
      <c r="E69" s="433" t="s">
        <v>127</v>
      </c>
      <c r="F69" s="433"/>
      <c r="G69" s="4"/>
      <c r="H69" s="4"/>
      <c r="I69" s="4"/>
      <c r="J69" s="4"/>
      <c r="K69" s="4"/>
      <c r="L69" s="4"/>
      <c r="M69" s="4"/>
      <c r="N69" s="4"/>
      <c r="O69" s="4"/>
      <c r="P69" s="4"/>
      <c r="Q69" s="4"/>
      <c r="R69" s="4"/>
      <c r="AF69" s="282" t="s">
        <v>58</v>
      </c>
      <c r="AG69">
        <f>IF(AG68&gt;0,$BC$45,0)</f>
        <v>0</v>
      </c>
      <c r="AH69">
        <f>IF(AH68&gt;0,$BC$62,0)</f>
        <v>0</v>
      </c>
      <c r="AI69">
        <f>IF(AI68&gt;0,$BC$79,0)</f>
        <v>0</v>
      </c>
      <c r="AJ69">
        <f>IF(AJ68&gt;0,$BC$96,0)</f>
        <v>0</v>
      </c>
      <c r="AK69">
        <f>IF(AK68&gt;0,$BC$113,0)</f>
        <v>0</v>
      </c>
      <c r="AL69">
        <f t="shared" ref="AL69:AL71" si="27">SUM(AG69:AK69)</f>
        <v>0</v>
      </c>
      <c r="AM69" s="283">
        <f>ROUNDUP(AL69/10,0)*10</f>
        <v>0</v>
      </c>
    </row>
    <row r="70" spans="1:60" x14ac:dyDescent="0.2">
      <c r="A70" s="4"/>
      <c r="B70" s="4"/>
      <c r="C70" s="4"/>
      <c r="D70" s="281" t="s">
        <v>59</v>
      </c>
      <c r="E70" s="408" t="s">
        <v>130</v>
      </c>
      <c r="F70" s="408"/>
      <c r="G70" s="310" t="str">
        <f ca="1">IF(AE70=1,"       Le bâtiment désigné n'est pas raccordé à internet !","")</f>
        <v/>
      </c>
      <c r="H70" s="310"/>
      <c r="I70" s="4"/>
      <c r="J70" s="4"/>
      <c r="K70" s="4"/>
      <c r="L70" s="4"/>
      <c r="M70" s="4"/>
      <c r="N70" s="4"/>
      <c r="O70" s="4"/>
      <c r="P70" s="4"/>
      <c r="Q70" s="4"/>
      <c r="R70" s="4"/>
      <c r="AC70">
        <f>IF(OR(E69="non",E69="nein"),VALUE(RIGHT(E70,1)),VALUE(RIGHT(B68,1)))</f>
        <v>1</v>
      </c>
      <c r="AD70" t="str">
        <f>ADDRESS((AC70-1)*pas_vertical+ROW(E$36),COLUMN(AC70))</f>
        <v>$AC$36</v>
      </c>
      <c r="AE70" cm="1">
        <f t="array" aca="1" ref="AE70" ca="1">IF(AC70&lt;&gt;INDIRECT(ADDRESS((AC70-1)*17+ROW(E$36),COLUMN(AC70))),1,0)</f>
        <v>0</v>
      </c>
      <c r="AF70" s="282" t="s">
        <v>61</v>
      </c>
      <c r="AG70">
        <f>IF(AG69&gt;0,$BD$45,0)</f>
        <v>0</v>
      </c>
      <c r="AH70">
        <f>IF(AH69&gt;0,$BD$62,0)</f>
        <v>0</v>
      </c>
      <c r="AI70">
        <f>IF(AI69&gt;0,$BD$79,0)</f>
        <v>0</v>
      </c>
      <c r="AJ70">
        <f>IF(AJ69&gt;0,$BD$96,0)</f>
        <v>0</v>
      </c>
      <c r="AK70">
        <f>IF(AK69&gt;0,$BD$113,0)</f>
        <v>0</v>
      </c>
      <c r="AL70">
        <f t="shared" si="27"/>
        <v>0</v>
      </c>
      <c r="AM70" s="283">
        <f t="shared" ref="AM70" si="28">ROUND(AL70/10,0)*10</f>
        <v>0</v>
      </c>
    </row>
    <row r="71" spans="1:60" x14ac:dyDescent="0.2">
      <c r="A71" s="4"/>
      <c r="B71" s="4"/>
      <c r="C71" s="4"/>
      <c r="D71" s="109"/>
      <c r="E71" s="4"/>
      <c r="F71" s="4"/>
      <c r="G71" s="4"/>
      <c r="H71" s="4"/>
      <c r="I71" s="4"/>
      <c r="J71" s="4"/>
      <c r="K71" s="4"/>
      <c r="L71" s="4"/>
      <c r="M71" s="4"/>
      <c r="N71" s="4"/>
      <c r="O71" s="4"/>
      <c r="P71" s="4"/>
      <c r="Q71" s="4"/>
      <c r="R71" s="4"/>
      <c r="T71" s="17" t="s">
        <v>62</v>
      </c>
      <c r="AF71" s="285" t="s">
        <v>63</v>
      </c>
      <c r="AG71" s="286">
        <f>IF(AG70&gt;0,$BE$45,0)</f>
        <v>0</v>
      </c>
      <c r="AH71" s="286">
        <f>IF(AH70&gt;0,$BE$62,0)</f>
        <v>0</v>
      </c>
      <c r="AI71" s="286">
        <f>IF(AI70&gt;0,$BE$79,0)</f>
        <v>0</v>
      </c>
      <c r="AJ71" s="286">
        <f>IF(AJ70&gt;0,$BE$96,0)</f>
        <v>0</v>
      </c>
      <c r="AK71" s="286">
        <f>IF(AK70&gt;0,$BE$113,0)</f>
        <v>0</v>
      </c>
      <c r="AL71" s="286">
        <f t="shared" si="27"/>
        <v>0</v>
      </c>
      <c r="AM71" s="287">
        <f>ROUNDUP(AL71/10,0)*10</f>
        <v>0</v>
      </c>
    </row>
    <row r="72" spans="1:60" ht="28" customHeight="1" x14ac:dyDescent="0.2">
      <c r="A72" s="4"/>
      <c r="B72" s="275"/>
      <c r="C72" s="383" t="s">
        <v>64</v>
      </c>
      <c r="D72" s="384"/>
      <c r="E72" s="384"/>
      <c r="F72" s="384"/>
      <c r="G72" s="385"/>
      <c r="H72" s="394" t="s">
        <v>65</v>
      </c>
      <c r="I72" s="383" t="s">
        <v>66</v>
      </c>
      <c r="J72" s="385"/>
      <c r="K72" s="383" t="s">
        <v>67</v>
      </c>
      <c r="L72" s="385"/>
      <c r="M72" s="288"/>
      <c r="N72" s="383" t="s">
        <v>68</v>
      </c>
      <c r="O72" s="384"/>
      <c r="P72" s="384"/>
      <c r="Q72" s="385"/>
      <c r="R72" s="4"/>
      <c r="T72" s="289" t="s">
        <v>69</v>
      </c>
      <c r="U72" s="277" t="s">
        <v>70</v>
      </c>
      <c r="Y72" s="277" t="s">
        <v>71</v>
      </c>
      <c r="Z72" s="277"/>
      <c r="AA72" s="277"/>
    </row>
    <row r="73" spans="1:60" ht="48" x14ac:dyDescent="0.2">
      <c r="A73" s="4"/>
      <c r="B73" s="275"/>
      <c r="C73" s="119" t="s">
        <v>19</v>
      </c>
      <c r="D73" s="119" t="s">
        <v>20</v>
      </c>
      <c r="E73" s="119" t="s">
        <v>21</v>
      </c>
      <c r="F73" s="119" t="s">
        <v>22</v>
      </c>
      <c r="G73" s="119" t="s">
        <v>23</v>
      </c>
      <c r="H73" s="395"/>
      <c r="I73" s="119" t="s">
        <v>72</v>
      </c>
      <c r="J73" s="119" t="s">
        <v>73</v>
      </c>
      <c r="K73" s="119" t="s">
        <v>74</v>
      </c>
      <c r="L73" s="119" t="s">
        <v>75</v>
      </c>
      <c r="M73" s="290"/>
      <c r="N73" s="119" t="s">
        <v>34</v>
      </c>
      <c r="O73" s="119" t="s">
        <v>76</v>
      </c>
      <c r="P73" s="119" t="s">
        <v>77</v>
      </c>
      <c r="Q73" s="119" t="s">
        <v>78</v>
      </c>
      <c r="R73" s="4"/>
      <c r="T73" s="289"/>
      <c r="U73" s="291" t="s">
        <v>36</v>
      </c>
      <c r="V73" s="291" t="s">
        <v>79</v>
      </c>
      <c r="W73" s="291" t="s">
        <v>80</v>
      </c>
      <c r="Y73" s="291" t="s">
        <v>81</v>
      </c>
      <c r="Z73" s="291" t="s">
        <v>82</v>
      </c>
      <c r="AA73" s="291" t="s">
        <v>83</v>
      </c>
      <c r="AC73" s="291" t="s">
        <v>84</v>
      </c>
      <c r="AD73" s="291" t="s">
        <v>85</v>
      </c>
      <c r="AE73" s="291" t="s">
        <v>86</v>
      </c>
      <c r="AF73" s="291" t="s">
        <v>131</v>
      </c>
      <c r="AG73" s="291" t="s">
        <v>88</v>
      </c>
      <c r="AH73" s="292" t="s">
        <v>89</v>
      </c>
      <c r="AI73" s="291" t="s">
        <v>90</v>
      </c>
      <c r="AJ73" s="291" t="s">
        <v>91</v>
      </c>
      <c r="AK73" s="291" t="s">
        <v>92</v>
      </c>
      <c r="AL73" s="292" t="s">
        <v>93</v>
      </c>
      <c r="AM73" s="291" t="s">
        <v>94</v>
      </c>
      <c r="AN73" s="291" t="s">
        <v>95</v>
      </c>
      <c r="AO73" s="291" t="s">
        <v>96</v>
      </c>
      <c r="AP73" s="292" t="s">
        <v>97</v>
      </c>
      <c r="AQ73" s="291" t="s">
        <v>98</v>
      </c>
      <c r="AR73" s="291" t="s">
        <v>99</v>
      </c>
      <c r="AS73" s="291" t="s">
        <v>100</v>
      </c>
      <c r="AT73" s="292" t="s">
        <v>101</v>
      </c>
      <c r="AU73" s="291" t="s">
        <v>102</v>
      </c>
      <c r="AV73" s="291" t="s">
        <v>103</v>
      </c>
      <c r="AW73" s="291" t="s">
        <v>104</v>
      </c>
      <c r="AX73" s="292" t="s">
        <v>105</v>
      </c>
      <c r="AY73" s="291" t="s">
        <v>106</v>
      </c>
      <c r="AZ73" s="291" t="s">
        <v>107</v>
      </c>
      <c r="BA73" s="291" t="s">
        <v>108</v>
      </c>
      <c r="BB73" s="293" t="s">
        <v>109</v>
      </c>
      <c r="BC73" s="293" t="s">
        <v>110</v>
      </c>
      <c r="BD73" s="293" t="s">
        <v>111</v>
      </c>
      <c r="BE73" s="293" t="s">
        <v>112</v>
      </c>
      <c r="BF73" s="291" t="s">
        <v>113</v>
      </c>
      <c r="BG73" s="291" t="s">
        <v>114</v>
      </c>
    </row>
    <row r="74" spans="1:60" ht="16" x14ac:dyDescent="0.2">
      <c r="A74" s="4"/>
      <c r="B74" s="294" t="s">
        <v>115</v>
      </c>
      <c r="C74" s="93"/>
      <c r="D74" s="94"/>
      <c r="E74" s="94"/>
      <c r="F74" s="94"/>
      <c r="G74" s="94"/>
      <c r="H74" s="57"/>
      <c r="I74" s="58"/>
      <c r="J74" s="58"/>
      <c r="K74" s="295">
        <f>SUM(C74:G74)+H74+(J74&gt;0)</f>
        <v>0</v>
      </c>
      <c r="L74" s="295">
        <f>3*(SUM(C74:G74)+H74)+I74+1*(J74&gt;0)</f>
        <v>0</v>
      </c>
      <c r="M74" s="296"/>
      <c r="N74" s="346"/>
      <c r="O74" s="349"/>
      <c r="P74" s="61"/>
      <c r="Q74" s="297">
        <f>O74-P74</f>
        <v>0</v>
      </c>
      <c r="R74" s="4"/>
      <c r="T74" s="289">
        <f ca="1">C74*Dotation_Déterm_1_2H+D74*Dotation_Déterm_3_4H+ROUNDUP(E74*ElevePClasse_5_6H/Dotation_Déterm_5_6H,0)+ROUNDUP(F74*ElevePClasse_7_8H/Dotation_Déterm_7_8H,0)+ROUNDUP(G74*ElevePClasse_9_11H/Dotation_Déterm_9_11H,0)</f>
        <v>0</v>
      </c>
      <c r="U74">
        <f>IF(ISTEXT(N74),VLOOKUP(N74,Syst_Rang,2,0),0)</f>
        <v>0</v>
      </c>
      <c r="V74">
        <f>U74*O74</f>
        <v>0</v>
      </c>
      <c r="W74">
        <f t="shared" ref="W74" si="29">U74*Q74</f>
        <v>0</v>
      </c>
      <c r="Y74">
        <f>L74+AA75</f>
        <v>0</v>
      </c>
      <c r="Z74">
        <f>IF(Y74&gt;22,ROUNDUP(Y74/22,0),0)</f>
        <v>0</v>
      </c>
      <c r="AA74">
        <f t="shared" ref="AA74:AA77" si="30">IF(Z74=0,Y74,0)</f>
        <v>0</v>
      </c>
      <c r="AC74">
        <f>C74*Dotation_Déterm_1_2H+D74*Dotation_Déterm_3_4H+ROUNDUP(E74*Max_ElevePClasse_5_6H/Dotation_Déterm_5_6H,0)+ROUNDUP(F74*Max_ElevePClasse_7_8H/Dotation_Déterm_7_8H,0)</f>
        <v>0</v>
      </c>
      <c r="AD74">
        <f>ROUNDUP(G74*Moy_ElevePClasse_9_11H/Dotation_Déterm_9_12H,0)</f>
        <v>0</v>
      </c>
      <c r="AE74" s="298">
        <f>SUM(C74:G74)</f>
        <v>0</v>
      </c>
      <c r="AF74" s="298">
        <f>H74</f>
        <v>0</v>
      </c>
      <c r="AG74">
        <f>$I74</f>
        <v>0</v>
      </c>
      <c r="AH74" s="282"/>
      <c r="AL74" s="282"/>
      <c r="AP74" s="282"/>
      <c r="AT74" s="282"/>
      <c r="AX74" s="282"/>
      <c r="BB74" s="282"/>
    </row>
    <row r="75" spans="1:60" ht="16" x14ac:dyDescent="0.2">
      <c r="A75" s="4"/>
      <c r="B75" s="299" t="s">
        <v>116</v>
      </c>
      <c r="C75" s="93"/>
      <c r="D75" s="94"/>
      <c r="E75" s="94"/>
      <c r="F75" s="94"/>
      <c r="G75" s="94"/>
      <c r="H75" s="57"/>
      <c r="I75" s="58"/>
      <c r="J75" s="58"/>
      <c r="K75" s="295">
        <f>SUM(C75:G75)+H75+(J75&gt;0)</f>
        <v>0</v>
      </c>
      <c r="L75" s="295">
        <f>3*(SUM(C75:G75)+H75)+I75+1*(J75&gt;0)</f>
        <v>0</v>
      </c>
      <c r="M75" s="296"/>
      <c r="N75" s="347"/>
      <c r="O75" s="102"/>
      <c r="P75" s="62"/>
      <c r="Q75" s="295">
        <f t="shared" ref="Q75:Q78" si="31">O75-P75</f>
        <v>0</v>
      </c>
      <c r="R75" s="4"/>
      <c r="T75" s="289">
        <f ca="1">C75*Dotation_Déterm_1_2H+D75*Dotation_Déterm_3_4H+ROUNDUP(E75*ElevePClasse_5_6H/Dotation_Déterm_5_6H,0)+ROUNDUP(F75*ElevePClasse_7_8H/Dotation_Déterm_7_8H,0)+ROUNDUP(G75*ElevePClasse_9_11H/Dotation_Déterm_9_11H,0)</f>
        <v>0</v>
      </c>
      <c r="U75">
        <f>IF(ISTEXT(N75),VLOOKUP(N75,Syst_Rang,2,0),0)</f>
        <v>0</v>
      </c>
      <c r="V75">
        <f t="shared" ref="V75:V78" si="32">U75*O75</f>
        <v>0</v>
      </c>
      <c r="W75">
        <f>U75*Q75</f>
        <v>0</v>
      </c>
      <c r="Y75">
        <f>L75+AA76</f>
        <v>0</v>
      </c>
      <c r="Z75">
        <f>IF(Y75+L74&gt;22,ROUNDUP(Y75/22,0),0)</f>
        <v>0</v>
      </c>
      <c r="AA75">
        <f t="shared" si="30"/>
        <v>0</v>
      </c>
      <c r="AC75">
        <f>C75*Dotation_Déterm_1_2H+D75*Dotation_Déterm_3_4H+ROUNDUP(E75*Max_ElevePClasse_5_6H/Dotation_Déterm_5_6H,0)+ROUNDUP(F75*Max_ElevePClasse_7_8H/Dotation_Déterm_7_8H,0)</f>
        <v>0</v>
      </c>
      <c r="AD75">
        <f>ROUNDUP(G75*Moy_ElevePClasse_9_11H/Dotation_Déterm_9_12H,0)</f>
        <v>0</v>
      </c>
      <c r="AE75" s="298">
        <f>SUM(C75:G75)</f>
        <v>0</v>
      </c>
      <c r="AF75" s="298">
        <f>H75</f>
        <v>0</v>
      </c>
      <c r="AG75">
        <f>$I75</f>
        <v>0</v>
      </c>
      <c r="AH75" s="282"/>
      <c r="AL75" s="282"/>
      <c r="AP75" s="282"/>
      <c r="AT75" s="282"/>
      <c r="AX75" s="282"/>
      <c r="BB75" s="282"/>
    </row>
    <row r="76" spans="1:60" ht="16" x14ac:dyDescent="0.2">
      <c r="A76" s="4"/>
      <c r="B76" s="299" t="s">
        <v>117</v>
      </c>
      <c r="C76" s="93"/>
      <c r="D76" s="94"/>
      <c r="E76" s="94"/>
      <c r="F76" s="94"/>
      <c r="G76" s="94"/>
      <c r="H76" s="57"/>
      <c r="I76" s="58"/>
      <c r="J76" s="58"/>
      <c r="K76" s="295">
        <f>SUM(C76:G76)+H76+(J76&gt;0)</f>
        <v>0</v>
      </c>
      <c r="L76" s="295">
        <f>3*(SUM(C76:G76)+H76)+I76+1*(J76&gt;0)</f>
        <v>0</v>
      </c>
      <c r="M76" s="296"/>
      <c r="N76" s="347"/>
      <c r="O76" s="102"/>
      <c r="P76" s="62"/>
      <c r="Q76" s="295">
        <f t="shared" si="31"/>
        <v>0</v>
      </c>
      <c r="R76" s="4"/>
      <c r="T76" s="289">
        <f ca="1">C76*Dotation_Déterm_1_2H+D76*Dotation_Déterm_3_4H+ROUNDUP(E76*ElevePClasse_5_6H/Dotation_Déterm_5_6H,0)+ROUNDUP(F76*ElevePClasse_7_8H/Dotation_Déterm_7_8H,0)+ROUNDUP(G76*ElevePClasse_9_11H/Dotation_Déterm_9_11H,0)</f>
        <v>0</v>
      </c>
      <c r="U76">
        <f>IF(ISTEXT(N76),VLOOKUP(N76,Syst_Rang,2,0),0)</f>
        <v>0</v>
      </c>
      <c r="V76">
        <f t="shared" si="32"/>
        <v>0</v>
      </c>
      <c r="W76">
        <f t="shared" ref="W76:W78" si="33">U76*Q76</f>
        <v>0</v>
      </c>
      <c r="Y76">
        <f>L76+AA77</f>
        <v>0</v>
      </c>
      <c r="Z76">
        <f>IF(Y76+L75&gt;22,ROUNDUP(Y76/22,0),0)</f>
        <v>0</v>
      </c>
      <c r="AA76">
        <f t="shared" si="30"/>
        <v>0</v>
      </c>
      <c r="AC76">
        <f>C76*Dotation_Déterm_1_2H+D76*Dotation_Déterm_3_4H+ROUNDUP(E76*Max_ElevePClasse_5_6H/Dotation_Déterm_5_6H,0)+ROUNDUP(F76*Max_ElevePClasse_7_8H/Dotation_Déterm_7_8H,0)</f>
        <v>0</v>
      </c>
      <c r="AD76">
        <f>ROUNDUP(G76*Moy_ElevePClasse_9_11H/Dotation_Déterm_9_12H,0)</f>
        <v>0</v>
      </c>
      <c r="AE76" s="298">
        <f>SUM(C76:G76)</f>
        <v>0</v>
      </c>
      <c r="AF76" s="298">
        <f>H76</f>
        <v>0</v>
      </c>
      <c r="AG76">
        <f>$I76</f>
        <v>0</v>
      </c>
      <c r="AH76" s="282"/>
      <c r="AL76" s="282"/>
      <c r="AP76" s="282"/>
      <c r="AT76" s="282"/>
      <c r="AX76" s="282"/>
      <c r="BB76" s="282"/>
    </row>
    <row r="77" spans="1:60" ht="16" x14ac:dyDescent="0.2">
      <c r="A77" s="4"/>
      <c r="B77" s="299" t="s">
        <v>118</v>
      </c>
      <c r="C77" s="93"/>
      <c r="D77" s="94"/>
      <c r="E77" s="94"/>
      <c r="F77" s="94"/>
      <c r="G77" s="94"/>
      <c r="H77" s="57"/>
      <c r="I77" s="58"/>
      <c r="J77" s="58"/>
      <c r="K77" s="295">
        <f>SUM(C77:G77)+H77+(J77&gt;0)</f>
        <v>0</v>
      </c>
      <c r="L77" s="295">
        <f>3*(SUM(C77:G77)+H77)+I77+1*(J77&gt;0)</f>
        <v>0</v>
      </c>
      <c r="M77" s="296"/>
      <c r="N77" s="347"/>
      <c r="O77" s="102"/>
      <c r="P77" s="62"/>
      <c r="Q77" s="295">
        <f t="shared" si="31"/>
        <v>0</v>
      </c>
      <c r="R77" s="4"/>
      <c r="T77" s="289">
        <f ca="1">C77*Dotation_Déterm_1_2H+D77*Dotation_Déterm_3_4H+ROUNDUP(E77*ElevePClasse_5_6H/Dotation_Déterm_5_6H,0)+ROUNDUP(F77*ElevePClasse_7_8H/Dotation_Déterm_7_8H,0)+ROUNDUP(G77*ElevePClasse_9_11H/Dotation_Déterm_9_11H,0)</f>
        <v>0</v>
      </c>
      <c r="U77">
        <f>IF(ISTEXT(N77),VLOOKUP(N77,Syst_Rang,2,0),0)</f>
        <v>0</v>
      </c>
      <c r="V77">
        <f t="shared" si="32"/>
        <v>0</v>
      </c>
      <c r="W77">
        <f t="shared" si="33"/>
        <v>0</v>
      </c>
      <c r="Y77">
        <f>L77+AA78</f>
        <v>0</v>
      </c>
      <c r="Z77">
        <f>IF(Y77+L76&gt;22,ROUNDUP(Y77/22,0),0)</f>
        <v>0</v>
      </c>
      <c r="AA77">
        <f t="shared" si="30"/>
        <v>0</v>
      </c>
      <c r="AC77">
        <f>C77*Dotation_Déterm_1_2H+D77*Dotation_Déterm_3_4H+ROUNDUP(E77*Max_ElevePClasse_5_6H/Dotation_Déterm_5_6H,0)+ROUNDUP(F77*Max_ElevePClasse_7_8H/Dotation_Déterm_7_8H,0)</f>
        <v>0</v>
      </c>
      <c r="AD77">
        <f>ROUNDUP(G77*Moy_ElevePClasse_9_11H/Dotation_Déterm_9_12H,0)</f>
        <v>0</v>
      </c>
      <c r="AE77" s="298">
        <f>SUM(C77:G77)</f>
        <v>0</v>
      </c>
      <c r="AF77" s="298">
        <f>H77</f>
        <v>0</v>
      </c>
      <c r="AG77">
        <f>$I77</f>
        <v>0</v>
      </c>
      <c r="AH77" s="282"/>
      <c r="AL77" s="282"/>
      <c r="AP77" s="282"/>
      <c r="AT77" s="282"/>
      <c r="AX77" s="282"/>
      <c r="BB77" s="282"/>
    </row>
    <row r="78" spans="1:60" ht="16" x14ac:dyDescent="0.2">
      <c r="A78" s="4"/>
      <c r="B78" s="300" t="s">
        <v>119</v>
      </c>
      <c r="C78" s="95"/>
      <c r="D78" s="96"/>
      <c r="E78" s="96"/>
      <c r="F78" s="96"/>
      <c r="G78" s="96"/>
      <c r="H78" s="59"/>
      <c r="I78" s="60"/>
      <c r="J78" s="60"/>
      <c r="K78" s="295">
        <f>SUM(C78:G78)+H78+(J78&gt;0)</f>
        <v>0</v>
      </c>
      <c r="L78" s="295">
        <f>3*(SUM(C78:G78)+H78)+I78+1*(J78&gt;0)</f>
        <v>0</v>
      </c>
      <c r="M78" s="296"/>
      <c r="N78" s="348"/>
      <c r="O78" s="350"/>
      <c r="P78" s="63"/>
      <c r="Q78" s="301">
        <f t="shared" si="31"/>
        <v>0</v>
      </c>
      <c r="R78" s="4"/>
      <c r="T78" s="289">
        <f ca="1">C78*Dotation_Déterm_1_2H+D78*Dotation_Déterm_3_4H+ROUNDUP(E78*ElevePClasse_5_6H/Dotation_Déterm_5_6H,0)+ROUNDUP(F78*ElevePClasse_7_8H/Dotation_Déterm_7_8H,0)+ROUNDUP(G78*ElevePClasse_9_11H/Dotation_Déterm_9_11H,0)</f>
        <v>0</v>
      </c>
      <c r="U78">
        <f>IF(ISTEXT(N78),VLOOKUP(N78,Syst_Rang,2,0),0)</f>
        <v>0</v>
      </c>
      <c r="V78">
        <f t="shared" si="32"/>
        <v>0</v>
      </c>
      <c r="W78">
        <f t="shared" si="33"/>
        <v>0</v>
      </c>
      <c r="Y78">
        <f>L78</f>
        <v>0</v>
      </c>
      <c r="Z78">
        <f>IF(Y78+L77&gt;22,ROUNDUP(Y78/22,0),0)</f>
        <v>0</v>
      </c>
      <c r="AA78">
        <f>IF(Z78=0,Y78,0)</f>
        <v>0</v>
      </c>
      <c r="AC78">
        <f>C78*Dotation_Déterm_1_2H+D78*Dotation_Déterm_3_4H+ROUNDUP(E78*Max_ElevePClasse_5_6H/Dotation_Déterm_5_6H,0)+ROUNDUP(F78*Max_ElevePClasse_7_8H/Dotation_Déterm_7_8H,0)</f>
        <v>0</v>
      </c>
      <c r="AD78">
        <f>ROUNDUP(G78*Moy_ElevePClasse_9_11H/Dotation_Déterm_9_12H,0)</f>
        <v>0</v>
      </c>
      <c r="AE78" s="298">
        <f>SUM(C78:G78)</f>
        <v>0</v>
      </c>
      <c r="AF78" s="298">
        <f>H78</f>
        <v>0</v>
      </c>
      <c r="AG78">
        <f>$I78</f>
        <v>0</v>
      </c>
      <c r="AH78" s="282"/>
      <c r="AL78" s="282"/>
      <c r="AP78" s="282"/>
      <c r="AT78" s="282"/>
      <c r="AX78" s="282"/>
      <c r="BB78" s="282"/>
    </row>
    <row r="79" spans="1:60" ht="16" customHeight="1" thickBot="1" x14ac:dyDescent="0.25">
      <c r="A79" s="4"/>
      <c r="B79" s="302"/>
      <c r="C79" s="303"/>
      <c r="D79" s="303"/>
      <c r="E79" s="303"/>
      <c r="F79" s="303"/>
      <c r="G79" s="303"/>
      <c r="H79" s="303"/>
      <c r="I79" s="303"/>
      <c r="J79" s="304"/>
      <c r="K79" s="246">
        <f>SUM(K74:K78)</f>
        <v>0</v>
      </c>
      <c r="L79" s="246">
        <f>SUM(L74:L78)</f>
        <v>0</v>
      </c>
      <c r="M79" s="305"/>
      <c r="N79" s="296"/>
      <c r="O79" s="339">
        <f>SUM(O74:O78)</f>
        <v>0</v>
      </c>
      <c r="P79" s="339">
        <f>SUM(P74:P78)</f>
        <v>0</v>
      </c>
      <c r="Q79" s="339">
        <f>SUM(Q74:Q78)</f>
        <v>0</v>
      </c>
      <c r="R79" s="4"/>
      <c r="T79" s="289">
        <f>SUM(C79:G79)</f>
        <v>0</v>
      </c>
      <c r="U79" s="306"/>
      <c r="V79" s="306">
        <f t="shared" ref="V79:W79" si="34">SUM(V74:V78)</f>
        <v>0</v>
      </c>
      <c r="W79" s="306">
        <f t="shared" si="34"/>
        <v>0</v>
      </c>
      <c r="Y79">
        <f>AA74</f>
        <v>0</v>
      </c>
      <c r="Z79">
        <f>IF(L79&gt;0,MAX(1,ROUNDUP(Y79/22,0)),0)</f>
        <v>0</v>
      </c>
      <c r="AC79" s="306">
        <f t="shared" ref="AC79" si="35">SUM(AC74:AC78)</f>
        <v>0</v>
      </c>
      <c r="AD79" s="306">
        <f t="shared" ref="AD79" si="36">SUM(AD74:AD78)</f>
        <v>0</v>
      </c>
      <c r="AE79" s="306">
        <f>SUM(AE74:AE78)</f>
        <v>0</v>
      </c>
      <c r="AF79" s="306">
        <f>SUM(AF74:AF78)</f>
        <v>0</v>
      </c>
      <c r="AG79" s="306">
        <f>SUM(AG74:AG78)</f>
        <v>0</v>
      </c>
      <c r="AH79" s="307">
        <f>$AC79*INDEX(BW_ELE_1_8H,1)</f>
        <v>0</v>
      </c>
      <c r="AI79" s="306">
        <f>$AC79*INDEX(BW_ELE_1_8H,2)</f>
        <v>0</v>
      </c>
      <c r="AJ79" s="306">
        <f>$AC79*INDEX(BW_ELE_1_8H,3)</f>
        <v>0</v>
      </c>
      <c r="AK79" s="306">
        <f>$AC79*INDEX(BW_ELE_1_8H,4)</f>
        <v>0</v>
      </c>
      <c r="AL79" s="307">
        <f>$AD79*INDEX(BW_ELE_9_11H,1)</f>
        <v>0</v>
      </c>
      <c r="AM79" s="306">
        <f>$AD79*INDEX(BW_ELE_9_11H,2)</f>
        <v>0</v>
      </c>
      <c r="AN79" s="306">
        <f>$AD79*INDEX(BW_ELE_9_11H,3)</f>
        <v>0</v>
      </c>
      <c r="AO79" s="306">
        <f>$AD79*INDEX(BW_ELE_9_11H,4)</f>
        <v>0</v>
      </c>
      <c r="AP79" s="307">
        <f>$AE79*INDEX(BW_ENSEIGN,1)</f>
        <v>0</v>
      </c>
      <c r="AQ79" s="307">
        <f>$AE79*INDEX(BW_ENSEIGN,2)</f>
        <v>0</v>
      </c>
      <c r="AR79" s="307">
        <f>$AE79*INDEX(BW_ENSEIGN,3)</f>
        <v>0</v>
      </c>
      <c r="AS79" s="307">
        <f>$AE79*INDEX(BW_ENSEIGN,4)</f>
        <v>0</v>
      </c>
      <c r="AT79" s="307">
        <f>$AF79*INDEX(BW_SALLE_INFO,1)</f>
        <v>0</v>
      </c>
      <c r="AU79" s="306">
        <f>$AF79*INDEX(BW_SALLE_INFO,2)</f>
        <v>0</v>
      </c>
      <c r="AV79" s="306">
        <f>$AF79*INDEX(BW_SALLE_INFO,3)</f>
        <v>0</v>
      </c>
      <c r="AW79" s="306">
        <f>$AF79*INDEX(BW_SALLE_INFO,4)</f>
        <v>0</v>
      </c>
      <c r="AX79" s="307">
        <f>$AG79*INDEX(BW_AUTRES,1)</f>
        <v>0</v>
      </c>
      <c r="AY79" s="306">
        <f>$AG79*INDEX(BW_AUTRES,2)</f>
        <v>0</v>
      </c>
      <c r="AZ79" s="306">
        <f>$AG79*INDEX(BW_AUTRES,3)</f>
        <v>0</v>
      </c>
      <c r="BA79" s="306">
        <f>$AG79*INDEX(BW_AUTRES,4)</f>
        <v>0</v>
      </c>
      <c r="BB79" s="307">
        <f>AH79+AL79+AP79+AT79+AX79</f>
        <v>0</v>
      </c>
      <c r="BC79" s="308">
        <f>AJ79+AN79+AR79+AV79+AZ79</f>
        <v>0</v>
      </c>
      <c r="BD79" s="307">
        <f t="shared" ref="BD79" si="37">AI79+AM79+AQ79+AU79+AY79</f>
        <v>0</v>
      </c>
      <c r="BE79" s="308">
        <f>AK79+AO79+AS79+AW79+BA79</f>
        <v>0</v>
      </c>
      <c r="BF79" s="306">
        <f>IF(SUM($AC79:$AG79)&gt;0,BB79/SUM($AC79:$AG79),0)</f>
        <v>0</v>
      </c>
      <c r="BG79" s="306">
        <f>IF(SUM($AC79:$AG79)&gt;0,BD79/SUM($AC79:$AG79),0)</f>
        <v>0</v>
      </c>
    </row>
    <row r="80" spans="1:60" ht="17" thickBot="1" x14ac:dyDescent="0.25">
      <c r="A80" s="4"/>
      <c r="B80" s="383" t="s">
        <v>120</v>
      </c>
      <c r="C80" s="384"/>
      <c r="D80" s="384"/>
      <c r="E80" s="384"/>
      <c r="F80" s="384"/>
      <c r="G80" s="385"/>
      <c r="H80" s="296"/>
      <c r="I80" s="119" t="s">
        <v>67</v>
      </c>
      <c r="J80" s="296"/>
      <c r="K80" s="296"/>
      <c r="L80" s="296"/>
      <c r="M80" s="296"/>
      <c r="N80" s="296"/>
      <c r="O80" s="296"/>
      <c r="P80" s="296"/>
      <c r="Q80" s="296"/>
      <c r="R80" s="4"/>
      <c r="T80" s="289"/>
      <c r="Y80" s="306"/>
      <c r="Z80" s="306">
        <f>SUM(Z74:Z79)</f>
        <v>0</v>
      </c>
      <c r="AA80" s="306"/>
    </row>
    <row r="81" spans="1:60" ht="16" customHeight="1" x14ac:dyDescent="0.2">
      <c r="A81" s="4"/>
      <c r="B81" s="396" t="s">
        <v>132</v>
      </c>
      <c r="C81" s="397"/>
      <c r="D81" s="398"/>
      <c r="E81" s="334" t="str">
        <f>IF(AM68&gt;0,AM68,"&gt; bât. "&amp;AC70)</f>
        <v>&gt; bât. 1</v>
      </c>
      <c r="F81" s="399" t="s">
        <v>122</v>
      </c>
      <c r="G81" s="400"/>
      <c r="H81" s="296"/>
      <c r="I81" s="388" t="s">
        <v>123</v>
      </c>
      <c r="J81" s="389"/>
      <c r="K81" s="390"/>
      <c r="L81" s="335">
        <f>Z80</f>
        <v>0</v>
      </c>
      <c r="M81" s="296"/>
      <c r="N81" s="4"/>
      <c r="O81" s="4"/>
      <c r="P81" s="4"/>
      <c r="Q81" s="4"/>
      <c r="R81" s="4"/>
      <c r="T81" s="289"/>
      <c r="Z81">
        <f>COUNTIF(Z74:Z79,"&gt;0")</f>
        <v>0</v>
      </c>
    </row>
    <row r="82" spans="1:60" ht="16" customHeight="1" x14ac:dyDescent="0.2">
      <c r="A82" s="4"/>
      <c r="B82" s="401" t="s">
        <v>124</v>
      </c>
      <c r="C82" s="402"/>
      <c r="D82" s="403"/>
      <c r="E82" s="336" t="str">
        <f>IF(AM70&gt;0,AM70,"&gt; bât. "&amp;AC70)</f>
        <v>&gt; bât. 1</v>
      </c>
      <c r="F82" s="404" t="str">
        <f>IF(AG68&gt;0,"1 ","") &amp; IF(AH68&gt;0,"2 ","") &amp; IF(AI68&gt;0,"3 ","") &amp; IF(AJ68&gt;0,"4 ","") &amp; IF(AK68&gt;0,"5","")</f>
        <v/>
      </c>
      <c r="G82" s="405"/>
      <c r="H82" s="296"/>
      <c r="I82" s="391" t="s">
        <v>125</v>
      </c>
      <c r="J82" s="392"/>
      <c r="K82" s="393"/>
      <c r="L82" s="337">
        <f>Z81</f>
        <v>0</v>
      </c>
      <c r="M82" s="296"/>
      <c r="N82" s="4"/>
      <c r="O82" s="4"/>
      <c r="P82" s="4"/>
      <c r="Q82" s="4"/>
      <c r="R82" s="4"/>
      <c r="T82" s="289"/>
    </row>
    <row r="83" spans="1:60" x14ac:dyDescent="0.2">
      <c r="A83" s="4"/>
      <c r="B83" s="4"/>
      <c r="C83" s="4"/>
      <c r="D83" s="4"/>
      <c r="E83" s="4"/>
      <c r="F83" s="4"/>
      <c r="G83" s="4"/>
      <c r="H83" s="4"/>
      <c r="I83" s="4"/>
      <c r="J83" s="4"/>
      <c r="K83" s="4"/>
      <c r="L83" s="4"/>
      <c r="M83" s="4"/>
      <c r="N83" s="4"/>
      <c r="O83" s="4"/>
      <c r="P83" s="4"/>
      <c r="Q83" s="4"/>
      <c r="R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row>
    <row r="84" spans="1:60" x14ac:dyDescent="0.2">
      <c r="A84" s="4"/>
      <c r="B84" s="4"/>
      <c r="C84" s="4"/>
      <c r="D84" s="4"/>
      <c r="E84" s="4"/>
      <c r="F84" s="4"/>
      <c r="G84" s="4"/>
      <c r="H84" s="4"/>
      <c r="I84" s="4"/>
      <c r="J84" s="4"/>
      <c r="K84" s="4"/>
      <c r="L84" s="4"/>
      <c r="M84" s="4"/>
      <c r="N84" s="4"/>
      <c r="O84" s="4"/>
      <c r="P84" s="4"/>
      <c r="Q84" s="4"/>
      <c r="R84" s="4"/>
      <c r="AF84" s="278"/>
      <c r="AG84" s="279">
        <f>IF(AND(AC85=AC87,$AC$36=$AC85),1,0)</f>
        <v>0</v>
      </c>
      <c r="AH84" s="279">
        <f>IF(AND(AC85=AC87,$AC$53=$AC85),2,0)</f>
        <v>0</v>
      </c>
      <c r="AI84" s="279">
        <f>IF(AND(AC85=AC87,$AC$70=$AC85),3,0)</f>
        <v>0</v>
      </c>
      <c r="AJ84" s="279">
        <f>IF(AND(AC85=AC87,$AC$87=$AC85),4,0)</f>
        <v>0</v>
      </c>
      <c r="AK84" s="279">
        <f>IF(AND(AC85=AC87,$AC$104=$AC85),5,0)</f>
        <v>0</v>
      </c>
      <c r="AL84" s="279" t="s">
        <v>51</v>
      </c>
      <c r="AM84" s="279" t="s">
        <v>52</v>
      </c>
    </row>
    <row r="85" spans="1:60" ht="19" x14ac:dyDescent="0.25">
      <c r="A85" s="4"/>
      <c r="B85" s="309" t="s">
        <v>133</v>
      </c>
      <c r="C85" s="4"/>
      <c r="D85" s="109" t="s">
        <v>54</v>
      </c>
      <c r="E85" s="422"/>
      <c r="F85" s="423"/>
      <c r="G85" s="4"/>
      <c r="H85" s="4"/>
      <c r="I85" s="4"/>
      <c r="J85" s="4"/>
      <c r="K85" s="4"/>
      <c r="L85" s="4"/>
      <c r="M85" s="4"/>
      <c r="N85" s="4"/>
      <c r="O85" s="4"/>
      <c r="P85" s="4"/>
      <c r="Q85" s="4"/>
      <c r="R85" s="4"/>
      <c r="AC85">
        <f>VALUE(RIGHT(B85,1))</f>
        <v>4</v>
      </c>
      <c r="AF85" s="282" t="s">
        <v>55</v>
      </c>
      <c r="AG85">
        <f>IF(AG84&gt;0,$BB$45,0)</f>
        <v>0</v>
      </c>
      <c r="AH85">
        <f>IF(AH84&gt;0,$BB$62,0)</f>
        <v>0</v>
      </c>
      <c r="AI85">
        <f>IF(AI84&gt;0,$BB$79,0)</f>
        <v>0</v>
      </c>
      <c r="AJ85">
        <f>IF(AJ84&gt;0,$BB$96,0)</f>
        <v>0</v>
      </c>
      <c r="AK85">
        <f>IF(AK84&gt;0,$BB$113,0)</f>
        <v>0</v>
      </c>
      <c r="AL85">
        <f>SUM(AG85:AK85)</f>
        <v>0</v>
      </c>
      <c r="AM85" s="283">
        <f>ROUND(AL85/10,0)*10</f>
        <v>0</v>
      </c>
    </row>
    <row r="86" spans="1:60" x14ac:dyDescent="0.2">
      <c r="A86" s="4"/>
      <c r="B86" s="4"/>
      <c r="C86" s="4"/>
      <c r="D86" s="281" t="s">
        <v>56</v>
      </c>
      <c r="E86" s="420" t="s">
        <v>127</v>
      </c>
      <c r="F86" s="421"/>
      <c r="G86" s="4"/>
      <c r="H86" s="4"/>
      <c r="I86" s="4"/>
      <c r="J86" s="4"/>
      <c r="K86" s="4"/>
      <c r="L86" s="4"/>
      <c r="M86" s="4"/>
      <c r="N86" s="4"/>
      <c r="O86" s="4"/>
      <c r="P86" s="4"/>
      <c r="Q86" s="4"/>
      <c r="R86" s="4"/>
      <c r="AF86" s="282" t="s">
        <v>58</v>
      </c>
      <c r="AG86">
        <f>IF(AG85&gt;0,$BC$45,0)</f>
        <v>0</v>
      </c>
      <c r="AH86">
        <f>IF(AH85&gt;0,$BC$62,0)</f>
        <v>0</v>
      </c>
      <c r="AI86">
        <f>IF(AI85&gt;0,$BC$79,0)</f>
        <v>0</v>
      </c>
      <c r="AJ86">
        <f>IF(AJ85&gt;0,$BC$96,0)</f>
        <v>0</v>
      </c>
      <c r="AK86">
        <f>IF(AK85&gt;0,$BC$113,0)</f>
        <v>0</v>
      </c>
      <c r="AL86">
        <f t="shared" ref="AL86:AL88" si="38">SUM(AG86:AK86)</f>
        <v>0</v>
      </c>
      <c r="AM86" s="283">
        <f>ROUNDUP(AL86/10,0)*10</f>
        <v>0</v>
      </c>
    </row>
    <row r="87" spans="1:60" x14ac:dyDescent="0.2">
      <c r="A87" s="4"/>
      <c r="B87" s="4"/>
      <c r="C87" s="4"/>
      <c r="D87" s="281" t="s">
        <v>59</v>
      </c>
      <c r="E87" s="386" t="s">
        <v>128</v>
      </c>
      <c r="F87" s="387"/>
      <c r="G87" s="310" t="str">
        <f ca="1">IF(AE87=1,"       Le bâtiment désigné n'est pas raccordé à internet !","")</f>
        <v/>
      </c>
      <c r="H87" s="310"/>
      <c r="I87" s="4"/>
      <c r="J87" s="4"/>
      <c r="K87" s="4"/>
      <c r="L87" s="4"/>
      <c r="M87" s="4"/>
      <c r="N87" s="4"/>
      <c r="O87" s="4"/>
      <c r="P87" s="4"/>
      <c r="Q87" s="4"/>
      <c r="R87" s="4"/>
      <c r="AC87">
        <f>IF(OR(E86="non",E86="nein"),VALUE(RIGHT(E87,1)),VALUE(RIGHT(B85,1)))</f>
        <v>1</v>
      </c>
      <c r="AD87" t="str">
        <f>ADDRESS((AC87-1)*pas_vertical+ROW(E$36),COLUMN(AC87))</f>
        <v>$AC$36</v>
      </c>
      <c r="AE87" cm="1">
        <f t="array" aca="1" ref="AE87" ca="1">IF(AC87&lt;&gt;INDIRECT(ADDRESS((AC87-1)*17+ROW(E$36),COLUMN(AC87))),1,0)</f>
        <v>0</v>
      </c>
      <c r="AF87" s="282" t="s">
        <v>61</v>
      </c>
      <c r="AG87">
        <f>IF(AG86&gt;0,$BD$45,0)</f>
        <v>0</v>
      </c>
      <c r="AH87">
        <f>IF(AH86&gt;0,$BD$62,0)</f>
        <v>0</v>
      </c>
      <c r="AI87">
        <f>IF(AI86&gt;0,$BD$79,0)</f>
        <v>0</v>
      </c>
      <c r="AJ87">
        <f>IF(AJ86&gt;0,$BD$96,0)</f>
        <v>0</v>
      </c>
      <c r="AK87">
        <f>IF(AK86&gt;0,$BD$113,0)</f>
        <v>0</v>
      </c>
      <c r="AL87">
        <f t="shared" si="38"/>
        <v>0</v>
      </c>
      <c r="AM87" s="283">
        <f t="shared" ref="AM87" si="39">ROUND(AL87/10,0)*10</f>
        <v>0</v>
      </c>
    </row>
    <row r="88" spans="1:60" x14ac:dyDescent="0.2">
      <c r="A88" s="4"/>
      <c r="B88" s="4"/>
      <c r="C88" s="4"/>
      <c r="D88" s="109"/>
      <c r="E88" s="4"/>
      <c r="F88" s="4"/>
      <c r="G88" s="4"/>
      <c r="H88" s="4"/>
      <c r="I88" s="4"/>
      <c r="J88" s="4"/>
      <c r="K88" s="4"/>
      <c r="L88" s="4"/>
      <c r="M88" s="4"/>
      <c r="N88" s="4"/>
      <c r="O88" s="4"/>
      <c r="P88" s="4"/>
      <c r="Q88" s="4"/>
      <c r="R88" s="4"/>
      <c r="T88" s="17" t="s">
        <v>62</v>
      </c>
      <c r="AF88" s="285" t="s">
        <v>63</v>
      </c>
      <c r="AG88" s="286">
        <f>IF(AG87&gt;0,$BE$45,0)</f>
        <v>0</v>
      </c>
      <c r="AH88" s="286">
        <f>IF(AH87&gt;0,$BE$62,0)</f>
        <v>0</v>
      </c>
      <c r="AI88" s="286">
        <f>IF(AI87&gt;0,$BE$79,0)</f>
        <v>0</v>
      </c>
      <c r="AJ88" s="286">
        <f>IF(AJ87&gt;0,$BE$96,0)</f>
        <v>0</v>
      </c>
      <c r="AK88" s="286">
        <f>IF(AK87&gt;0,$BE$113,0)</f>
        <v>0</v>
      </c>
      <c r="AL88" s="286">
        <f t="shared" si="38"/>
        <v>0</v>
      </c>
      <c r="AM88" s="287">
        <f>ROUNDUP(AL88/10,0)*10</f>
        <v>0</v>
      </c>
    </row>
    <row r="89" spans="1:60" ht="28" customHeight="1" x14ac:dyDescent="0.2">
      <c r="A89" s="4"/>
      <c r="B89" s="275"/>
      <c r="C89" s="383" t="s">
        <v>64</v>
      </c>
      <c r="D89" s="384"/>
      <c r="E89" s="384"/>
      <c r="F89" s="384"/>
      <c r="G89" s="385"/>
      <c r="H89" s="394" t="s">
        <v>65</v>
      </c>
      <c r="I89" s="383" t="s">
        <v>66</v>
      </c>
      <c r="J89" s="385"/>
      <c r="K89" s="383" t="s">
        <v>67</v>
      </c>
      <c r="L89" s="385"/>
      <c r="M89" s="288"/>
      <c r="N89" s="383" t="s">
        <v>68</v>
      </c>
      <c r="O89" s="384"/>
      <c r="P89" s="384"/>
      <c r="Q89" s="385"/>
      <c r="R89" s="4"/>
      <c r="T89" s="289" t="s">
        <v>69</v>
      </c>
      <c r="U89" s="277" t="s">
        <v>70</v>
      </c>
      <c r="Y89" s="277" t="s">
        <v>71</v>
      </c>
      <c r="Z89" s="277"/>
      <c r="AA89" s="277"/>
    </row>
    <row r="90" spans="1:60" ht="48" x14ac:dyDescent="0.2">
      <c r="A90" s="4"/>
      <c r="B90" s="275"/>
      <c r="C90" s="119" t="s">
        <v>19</v>
      </c>
      <c r="D90" s="119" t="s">
        <v>20</v>
      </c>
      <c r="E90" s="119" t="s">
        <v>21</v>
      </c>
      <c r="F90" s="119" t="s">
        <v>22</v>
      </c>
      <c r="G90" s="119" t="s">
        <v>23</v>
      </c>
      <c r="H90" s="395"/>
      <c r="I90" s="119" t="s">
        <v>72</v>
      </c>
      <c r="J90" s="119" t="s">
        <v>73</v>
      </c>
      <c r="K90" s="119" t="s">
        <v>74</v>
      </c>
      <c r="L90" s="119" t="s">
        <v>75</v>
      </c>
      <c r="M90" s="290"/>
      <c r="N90" s="119" t="s">
        <v>34</v>
      </c>
      <c r="O90" s="119" t="s">
        <v>76</v>
      </c>
      <c r="P90" s="119" t="s">
        <v>77</v>
      </c>
      <c r="Q90" s="119" t="s">
        <v>78</v>
      </c>
      <c r="R90" s="4"/>
      <c r="T90" s="289"/>
      <c r="U90" s="291" t="s">
        <v>36</v>
      </c>
      <c r="V90" s="291" t="s">
        <v>79</v>
      </c>
      <c r="W90" s="291" t="s">
        <v>80</v>
      </c>
      <c r="Y90" s="291" t="s">
        <v>81</v>
      </c>
      <c r="Z90" s="291" t="s">
        <v>82</v>
      </c>
      <c r="AA90" s="291" t="s">
        <v>83</v>
      </c>
      <c r="AC90" s="291" t="s">
        <v>84</v>
      </c>
      <c r="AD90" s="291" t="s">
        <v>85</v>
      </c>
      <c r="AE90" s="291" t="s">
        <v>86</v>
      </c>
      <c r="AF90" s="291" t="s">
        <v>131</v>
      </c>
      <c r="AG90" s="291" t="s">
        <v>88</v>
      </c>
      <c r="AH90" s="292" t="s">
        <v>89</v>
      </c>
      <c r="AI90" s="291" t="s">
        <v>90</v>
      </c>
      <c r="AJ90" s="291" t="s">
        <v>91</v>
      </c>
      <c r="AK90" s="291" t="s">
        <v>92</v>
      </c>
      <c r="AL90" s="292" t="s">
        <v>93</v>
      </c>
      <c r="AM90" s="291" t="s">
        <v>94</v>
      </c>
      <c r="AN90" s="291" t="s">
        <v>95</v>
      </c>
      <c r="AO90" s="291" t="s">
        <v>96</v>
      </c>
      <c r="AP90" s="292" t="s">
        <v>97</v>
      </c>
      <c r="AQ90" s="291" t="s">
        <v>98</v>
      </c>
      <c r="AR90" s="291" t="s">
        <v>99</v>
      </c>
      <c r="AS90" s="291" t="s">
        <v>100</v>
      </c>
      <c r="AT90" s="292" t="s">
        <v>101</v>
      </c>
      <c r="AU90" s="291" t="s">
        <v>102</v>
      </c>
      <c r="AV90" s="291" t="s">
        <v>103</v>
      </c>
      <c r="AW90" s="291" t="s">
        <v>104</v>
      </c>
      <c r="AX90" s="292" t="s">
        <v>105</v>
      </c>
      <c r="AY90" s="291" t="s">
        <v>106</v>
      </c>
      <c r="AZ90" s="291" t="s">
        <v>107</v>
      </c>
      <c r="BA90" s="291" t="s">
        <v>108</v>
      </c>
      <c r="BB90" s="293" t="s">
        <v>109</v>
      </c>
      <c r="BC90" s="293" t="s">
        <v>110</v>
      </c>
      <c r="BD90" s="293" t="s">
        <v>111</v>
      </c>
      <c r="BE90" s="293" t="s">
        <v>112</v>
      </c>
      <c r="BF90" s="291" t="s">
        <v>113</v>
      </c>
      <c r="BG90" s="291" t="s">
        <v>114</v>
      </c>
    </row>
    <row r="91" spans="1:60" ht="16" x14ac:dyDescent="0.2">
      <c r="A91" s="4"/>
      <c r="B91" s="294" t="s">
        <v>115</v>
      </c>
      <c r="C91" s="93"/>
      <c r="D91" s="94"/>
      <c r="E91" s="94"/>
      <c r="F91" s="94"/>
      <c r="G91" s="94"/>
      <c r="H91" s="57"/>
      <c r="I91" s="58"/>
      <c r="J91" s="58"/>
      <c r="K91" s="295">
        <f>SUM(C91:G91)+H91+(J91&gt;0)</f>
        <v>0</v>
      </c>
      <c r="L91" s="295">
        <f>3*(SUM(C91:G91)+H91)+I91+1*(J91&gt;0)</f>
        <v>0</v>
      </c>
      <c r="M91" s="296"/>
      <c r="N91" s="346"/>
      <c r="O91" s="349"/>
      <c r="P91" s="61"/>
      <c r="Q91" s="297">
        <f>O91-P91</f>
        <v>0</v>
      </c>
      <c r="R91" s="4"/>
      <c r="T91" s="289">
        <f ca="1">C91*Dotation_Déterm_1_2H+D91*Dotation_Déterm_3_4H+ROUNDUP(E91*ElevePClasse_5_6H/Dotation_Déterm_5_6H,0)+ROUNDUP(F91*ElevePClasse_7_8H/Dotation_Déterm_7_8H,0)+ROUNDUP(G91*ElevePClasse_9_11H/Dotation_Déterm_9_11H,0)</f>
        <v>0</v>
      </c>
      <c r="U91">
        <f>IF(ISTEXT(N91),VLOOKUP(N91,Syst_Rang,2,0),0)</f>
        <v>0</v>
      </c>
      <c r="V91">
        <f>U91*O91</f>
        <v>0</v>
      </c>
      <c r="W91">
        <f t="shared" ref="W91" si="40">U91*Q91</f>
        <v>0</v>
      </c>
      <c r="Y91">
        <f>L91+AA92</f>
        <v>0</v>
      </c>
      <c r="Z91">
        <f>IF(Y91&gt;22,ROUNDUP(Y91/22,0),0)</f>
        <v>0</v>
      </c>
      <c r="AA91">
        <f t="shared" ref="AA91:AA94" si="41">IF(Z91=0,Y91,0)</f>
        <v>0</v>
      </c>
      <c r="AC91">
        <f>C91*Dotation_Déterm_1_2H+D91*Dotation_Déterm_3_4H+ROUNDUP(E91*Max_ElevePClasse_5_6H/Dotation_Déterm_5_6H,0)+ROUNDUP(F91*Max_ElevePClasse_7_8H/Dotation_Déterm_7_8H,0)</f>
        <v>0</v>
      </c>
      <c r="AD91">
        <f>ROUNDUP(G91*Moy_ElevePClasse_9_11H/Dotation_Déterm_9_12H,0)</f>
        <v>0</v>
      </c>
      <c r="AE91" s="298">
        <f>SUM(C91:G91)</f>
        <v>0</v>
      </c>
      <c r="AF91" s="298">
        <f>H91</f>
        <v>0</v>
      </c>
      <c r="AG91">
        <f>$I91</f>
        <v>0</v>
      </c>
      <c r="AH91" s="282"/>
      <c r="AL91" s="282"/>
      <c r="AP91" s="282"/>
      <c r="AT91" s="282"/>
      <c r="AX91" s="282"/>
      <c r="BB91" s="282"/>
    </row>
    <row r="92" spans="1:60" ht="16" x14ac:dyDescent="0.2">
      <c r="A92" s="4"/>
      <c r="B92" s="299" t="s">
        <v>116</v>
      </c>
      <c r="C92" s="93"/>
      <c r="D92" s="94"/>
      <c r="E92" s="94"/>
      <c r="F92" s="94"/>
      <c r="G92" s="94"/>
      <c r="H92" s="57"/>
      <c r="I92" s="58"/>
      <c r="J92" s="58"/>
      <c r="K92" s="295">
        <f>SUM(C92:G92)+H92+(J92&gt;0)</f>
        <v>0</v>
      </c>
      <c r="L92" s="295">
        <f>3*(SUM(C92:G92)+H92)+I92+1*(J92&gt;0)</f>
        <v>0</v>
      </c>
      <c r="M92" s="296"/>
      <c r="N92" s="347"/>
      <c r="O92" s="102"/>
      <c r="P92" s="62"/>
      <c r="Q92" s="295">
        <f t="shared" ref="Q92:Q95" si="42">O92-P92</f>
        <v>0</v>
      </c>
      <c r="R92" s="4"/>
      <c r="T92" s="289">
        <f ca="1">C92*Dotation_Déterm_1_2H+D92*Dotation_Déterm_3_4H+ROUNDUP(E92*ElevePClasse_5_6H/Dotation_Déterm_5_6H,0)+ROUNDUP(F92*ElevePClasse_7_8H/Dotation_Déterm_7_8H,0)+ROUNDUP(G92*ElevePClasse_9_11H/Dotation_Déterm_9_11H,0)</f>
        <v>0</v>
      </c>
      <c r="U92">
        <f>IF(ISTEXT(N92),VLOOKUP(N92,Syst_Rang,2,0),0)</f>
        <v>0</v>
      </c>
      <c r="V92">
        <f t="shared" ref="V92:V95" si="43">U92*O92</f>
        <v>0</v>
      </c>
      <c r="W92">
        <f>U92*Q92</f>
        <v>0</v>
      </c>
      <c r="Y92">
        <f>L92+AA93</f>
        <v>0</v>
      </c>
      <c r="Z92">
        <f>IF(Y92+L91&gt;22,ROUNDUP(Y92/22,0),0)</f>
        <v>0</v>
      </c>
      <c r="AA92">
        <f t="shared" si="41"/>
        <v>0</v>
      </c>
      <c r="AC92">
        <f>C92*Dotation_Déterm_1_2H+D92*Dotation_Déterm_3_4H+ROUNDUP(E92*Max_ElevePClasse_5_6H/Dotation_Déterm_5_6H,0)+ROUNDUP(F92*Max_ElevePClasse_7_8H/Dotation_Déterm_7_8H,0)</f>
        <v>0</v>
      </c>
      <c r="AD92">
        <f>ROUNDUP(G92*Moy_ElevePClasse_9_11H/Dotation_Déterm_9_12H,0)</f>
        <v>0</v>
      </c>
      <c r="AE92" s="298">
        <f>SUM(C92:G92)</f>
        <v>0</v>
      </c>
      <c r="AF92" s="298">
        <f>H92</f>
        <v>0</v>
      </c>
      <c r="AG92">
        <f>$I92</f>
        <v>0</v>
      </c>
      <c r="AH92" s="282"/>
      <c r="AL92" s="282"/>
      <c r="AP92" s="282"/>
      <c r="AT92" s="282"/>
      <c r="AX92" s="282"/>
      <c r="BB92" s="282"/>
    </row>
    <row r="93" spans="1:60" ht="16" x14ac:dyDescent="0.2">
      <c r="A93" s="4"/>
      <c r="B93" s="299" t="s">
        <v>117</v>
      </c>
      <c r="C93" s="93"/>
      <c r="D93" s="94"/>
      <c r="E93" s="94"/>
      <c r="F93" s="94"/>
      <c r="G93" s="94"/>
      <c r="H93" s="57"/>
      <c r="I93" s="58"/>
      <c r="J93" s="58"/>
      <c r="K93" s="295">
        <f>SUM(C93:G93)+H93+(J93&gt;0)</f>
        <v>0</v>
      </c>
      <c r="L93" s="295">
        <f>3*(SUM(C93:G93)+H93)+I93+1*(J93&gt;0)</f>
        <v>0</v>
      </c>
      <c r="M93" s="296"/>
      <c r="N93" s="347"/>
      <c r="O93" s="102"/>
      <c r="P93" s="62"/>
      <c r="Q93" s="295">
        <f t="shared" si="42"/>
        <v>0</v>
      </c>
      <c r="R93" s="4"/>
      <c r="T93" s="289">
        <f ca="1">C93*Dotation_Déterm_1_2H+D93*Dotation_Déterm_3_4H+ROUNDUP(E93*ElevePClasse_5_6H/Dotation_Déterm_5_6H,0)+ROUNDUP(F93*ElevePClasse_7_8H/Dotation_Déterm_7_8H,0)+ROUNDUP(G93*ElevePClasse_9_11H/Dotation_Déterm_9_11H,0)</f>
        <v>0</v>
      </c>
      <c r="U93">
        <f>IF(ISTEXT(N93),VLOOKUP(N93,Syst_Rang,2,0),0)</f>
        <v>0</v>
      </c>
      <c r="V93">
        <f t="shared" si="43"/>
        <v>0</v>
      </c>
      <c r="W93">
        <f t="shared" ref="W93:W95" si="44">U93*Q93</f>
        <v>0</v>
      </c>
      <c r="Y93">
        <f>L93+AA94</f>
        <v>0</v>
      </c>
      <c r="Z93">
        <f>IF(Y93+L92&gt;22,ROUNDUP(Y93/22,0),0)</f>
        <v>0</v>
      </c>
      <c r="AA93">
        <f t="shared" si="41"/>
        <v>0</v>
      </c>
      <c r="AC93">
        <f>C93*Dotation_Déterm_1_2H+D93*Dotation_Déterm_3_4H+ROUNDUP(E93*Max_ElevePClasse_5_6H/Dotation_Déterm_5_6H,0)+ROUNDUP(F93*Max_ElevePClasse_7_8H/Dotation_Déterm_7_8H,0)</f>
        <v>0</v>
      </c>
      <c r="AD93">
        <f>ROUNDUP(G93*Moy_ElevePClasse_9_11H/Dotation_Déterm_9_12H,0)</f>
        <v>0</v>
      </c>
      <c r="AE93" s="298">
        <f>SUM(C93:G93)</f>
        <v>0</v>
      </c>
      <c r="AF93" s="298">
        <f>H93</f>
        <v>0</v>
      </c>
      <c r="AG93">
        <f>$I93</f>
        <v>0</v>
      </c>
      <c r="AH93" s="282"/>
      <c r="AL93" s="282"/>
      <c r="AP93" s="282"/>
      <c r="AT93" s="282"/>
      <c r="AX93" s="282"/>
      <c r="BB93" s="282"/>
    </row>
    <row r="94" spans="1:60" ht="16" x14ac:dyDescent="0.2">
      <c r="A94" s="4"/>
      <c r="B94" s="299" t="s">
        <v>118</v>
      </c>
      <c r="C94" s="93"/>
      <c r="D94" s="94"/>
      <c r="E94" s="94"/>
      <c r="F94" s="94"/>
      <c r="G94" s="94"/>
      <c r="H94" s="57"/>
      <c r="I94" s="58"/>
      <c r="J94" s="58"/>
      <c r="K94" s="295">
        <f>SUM(C94:G94)+H94+(J94&gt;0)</f>
        <v>0</v>
      </c>
      <c r="L94" s="295">
        <f>3*(SUM(C94:G94)+H94)+I94+1*(J94&gt;0)</f>
        <v>0</v>
      </c>
      <c r="M94" s="296"/>
      <c r="N94" s="347"/>
      <c r="O94" s="102"/>
      <c r="P94" s="62"/>
      <c r="Q94" s="295">
        <f t="shared" si="42"/>
        <v>0</v>
      </c>
      <c r="R94" s="4"/>
      <c r="T94" s="289">
        <f ca="1">C94*Dotation_Déterm_1_2H+D94*Dotation_Déterm_3_4H+ROUNDUP(E94*ElevePClasse_5_6H/Dotation_Déterm_5_6H,0)+ROUNDUP(F94*ElevePClasse_7_8H/Dotation_Déterm_7_8H,0)+ROUNDUP(G94*ElevePClasse_9_11H/Dotation_Déterm_9_11H,0)</f>
        <v>0</v>
      </c>
      <c r="U94">
        <f>IF(ISTEXT(N94),VLOOKUP(N94,Syst_Rang,2,0),0)</f>
        <v>0</v>
      </c>
      <c r="V94">
        <f t="shared" si="43"/>
        <v>0</v>
      </c>
      <c r="W94">
        <f t="shared" si="44"/>
        <v>0</v>
      </c>
      <c r="Y94">
        <f>L94+AA95</f>
        <v>0</v>
      </c>
      <c r="Z94">
        <f>IF(Y94+L93&gt;22,ROUNDUP(Y94/22,0),0)</f>
        <v>0</v>
      </c>
      <c r="AA94">
        <f t="shared" si="41"/>
        <v>0</v>
      </c>
      <c r="AC94">
        <f>C94*Dotation_Déterm_1_2H+D94*Dotation_Déterm_3_4H+ROUNDUP(E94*Max_ElevePClasse_5_6H/Dotation_Déterm_5_6H,0)+ROUNDUP(F94*Max_ElevePClasse_7_8H/Dotation_Déterm_7_8H,0)</f>
        <v>0</v>
      </c>
      <c r="AD94">
        <f>ROUNDUP(G94*Moy_ElevePClasse_9_11H/Dotation_Déterm_9_12H,0)</f>
        <v>0</v>
      </c>
      <c r="AE94" s="298">
        <f>SUM(C94:G94)</f>
        <v>0</v>
      </c>
      <c r="AF94" s="298">
        <f>H94</f>
        <v>0</v>
      </c>
      <c r="AG94">
        <f>$I94</f>
        <v>0</v>
      </c>
      <c r="AH94" s="282"/>
      <c r="AL94" s="282"/>
      <c r="AP94" s="282"/>
      <c r="AT94" s="282"/>
      <c r="AX94" s="282"/>
      <c r="BB94" s="282"/>
    </row>
    <row r="95" spans="1:60" ht="16" x14ac:dyDescent="0.2">
      <c r="A95" s="4"/>
      <c r="B95" s="300" t="s">
        <v>119</v>
      </c>
      <c r="C95" s="95"/>
      <c r="D95" s="96"/>
      <c r="E95" s="96"/>
      <c r="F95" s="96"/>
      <c r="G95" s="96"/>
      <c r="H95" s="59"/>
      <c r="I95" s="60"/>
      <c r="J95" s="60"/>
      <c r="K95" s="295">
        <f>SUM(C95:G95)+H95+(J95&gt;0)</f>
        <v>0</v>
      </c>
      <c r="L95" s="295">
        <f>3*(SUM(C95:G95)+H95)+I95+1*(J95&gt;0)</f>
        <v>0</v>
      </c>
      <c r="M95" s="296"/>
      <c r="N95" s="348"/>
      <c r="O95" s="350"/>
      <c r="P95" s="63"/>
      <c r="Q95" s="301">
        <f t="shared" si="42"/>
        <v>0</v>
      </c>
      <c r="R95" s="4"/>
      <c r="T95" s="289">
        <f ca="1">C95*Dotation_Déterm_1_2H+D95*Dotation_Déterm_3_4H+ROUNDUP(E95*ElevePClasse_5_6H/Dotation_Déterm_5_6H,0)+ROUNDUP(F95*ElevePClasse_7_8H/Dotation_Déterm_7_8H,0)+ROUNDUP(G95*ElevePClasse_9_11H/Dotation_Déterm_9_11H,0)</f>
        <v>0</v>
      </c>
      <c r="U95">
        <f>IF(ISTEXT(N95),VLOOKUP(N95,Syst_Rang,2,0),0)</f>
        <v>0</v>
      </c>
      <c r="V95">
        <f t="shared" si="43"/>
        <v>0</v>
      </c>
      <c r="W95">
        <f t="shared" si="44"/>
        <v>0</v>
      </c>
      <c r="Y95">
        <f>L95</f>
        <v>0</v>
      </c>
      <c r="Z95">
        <f>IF(Y95+L94&gt;22,ROUNDUP(Y95/22,0),0)</f>
        <v>0</v>
      </c>
      <c r="AA95">
        <f>IF(Z95=0,Y95,0)</f>
        <v>0</v>
      </c>
      <c r="AC95">
        <f>C95*Dotation_Déterm_1_2H+D95*Dotation_Déterm_3_4H+ROUNDUP(E95*Max_ElevePClasse_5_6H/Dotation_Déterm_5_6H,0)+ROUNDUP(F95*Max_ElevePClasse_7_8H/Dotation_Déterm_7_8H,0)</f>
        <v>0</v>
      </c>
      <c r="AD95">
        <f>ROUNDUP(G95*Moy_ElevePClasse_9_11H/Dotation_Déterm_9_12H,0)</f>
        <v>0</v>
      </c>
      <c r="AE95" s="298">
        <f>SUM(C95:G95)</f>
        <v>0</v>
      </c>
      <c r="AF95" s="298">
        <f>H95</f>
        <v>0</v>
      </c>
      <c r="AG95">
        <f>$I95</f>
        <v>0</v>
      </c>
      <c r="AH95" s="282"/>
      <c r="AL95" s="282"/>
      <c r="AP95" s="282"/>
      <c r="AT95" s="282"/>
      <c r="AX95" s="282"/>
      <c r="BB95" s="282"/>
    </row>
    <row r="96" spans="1:60" ht="16" customHeight="1" thickBot="1" x14ac:dyDescent="0.25">
      <c r="A96" s="4"/>
      <c r="B96" s="302"/>
      <c r="C96" s="303"/>
      <c r="D96" s="303"/>
      <c r="E96" s="303"/>
      <c r="F96" s="303"/>
      <c r="G96" s="303"/>
      <c r="H96" s="303"/>
      <c r="I96" s="303"/>
      <c r="J96" s="304"/>
      <c r="K96" s="246">
        <f>SUM(K91:K95)</f>
        <v>0</v>
      </c>
      <c r="L96" s="246">
        <f>SUM(L91:L95)</f>
        <v>0</v>
      </c>
      <c r="M96" s="305"/>
      <c r="N96" s="296"/>
      <c r="O96" s="339">
        <f>SUM(O91:O95)</f>
        <v>0</v>
      </c>
      <c r="P96" s="339">
        <f>SUM(P91:P95)</f>
        <v>0</v>
      </c>
      <c r="Q96" s="339">
        <f>SUM(Q91:Q95)</f>
        <v>0</v>
      </c>
      <c r="R96" s="4"/>
      <c r="T96" s="289">
        <f>SUM(C96:G96)</f>
        <v>0</v>
      </c>
      <c r="U96" s="306"/>
      <c r="V96" s="306">
        <f t="shared" ref="V96:W96" si="45">SUM(V91:V95)</f>
        <v>0</v>
      </c>
      <c r="W96" s="306">
        <f t="shared" si="45"/>
        <v>0</v>
      </c>
      <c r="Y96">
        <f>AA91</f>
        <v>0</v>
      </c>
      <c r="Z96">
        <f>IF(L96&gt;0,MAX(1,ROUNDUP(Y96/22,0)),0)</f>
        <v>0</v>
      </c>
      <c r="AC96" s="306">
        <f t="shared" ref="AC96" si="46">SUM(AC91:AC95)</f>
        <v>0</v>
      </c>
      <c r="AD96" s="306">
        <f t="shared" ref="AD96" si="47">SUM(AD91:AD95)</f>
        <v>0</v>
      </c>
      <c r="AE96" s="306">
        <f>SUM(AE91:AE95)</f>
        <v>0</v>
      </c>
      <c r="AF96" s="306">
        <f>SUM(AF91:AF95)</f>
        <v>0</v>
      </c>
      <c r="AG96" s="306">
        <f>SUM(AG91:AG95)</f>
        <v>0</v>
      </c>
      <c r="AH96" s="307">
        <f>$AC96*INDEX(BW_ELE_1_8H,1)</f>
        <v>0</v>
      </c>
      <c r="AI96" s="306">
        <f>$AC96*INDEX(BW_ELE_1_8H,2)</f>
        <v>0</v>
      </c>
      <c r="AJ96" s="306">
        <f>$AC96*INDEX(BW_ELE_1_8H,3)</f>
        <v>0</v>
      </c>
      <c r="AK96" s="306">
        <f>$AC96*INDEX(BW_ELE_1_8H,4)</f>
        <v>0</v>
      </c>
      <c r="AL96" s="307">
        <f>$AD96*INDEX(BW_ELE_9_11H,1)</f>
        <v>0</v>
      </c>
      <c r="AM96" s="306">
        <f>$AD96*INDEX(BW_ELE_9_11H,2)</f>
        <v>0</v>
      </c>
      <c r="AN96" s="306">
        <f>$AD96*INDEX(BW_ELE_9_11H,3)</f>
        <v>0</v>
      </c>
      <c r="AO96" s="306">
        <f>$AD96*INDEX(BW_ELE_9_11H,4)</f>
        <v>0</v>
      </c>
      <c r="AP96" s="307">
        <f>$AE96*INDEX(BW_ENSEIGN,1)</f>
        <v>0</v>
      </c>
      <c r="AQ96" s="307">
        <f>$AE96*INDEX(BW_ENSEIGN,2)</f>
        <v>0</v>
      </c>
      <c r="AR96" s="307">
        <f>$AE96*INDEX(BW_ENSEIGN,3)</f>
        <v>0</v>
      </c>
      <c r="AS96" s="307">
        <f>$AE96*INDEX(BW_ENSEIGN,4)</f>
        <v>0</v>
      </c>
      <c r="AT96" s="307">
        <f>$AF96*INDEX(BW_SALLE_INFO,1)</f>
        <v>0</v>
      </c>
      <c r="AU96" s="306">
        <f>$AF96*INDEX(BW_SALLE_INFO,2)</f>
        <v>0</v>
      </c>
      <c r="AV96" s="306">
        <f>$AF96*INDEX(BW_SALLE_INFO,3)</f>
        <v>0</v>
      </c>
      <c r="AW96" s="306">
        <f>$AF96*INDEX(BW_SALLE_INFO,4)</f>
        <v>0</v>
      </c>
      <c r="AX96" s="307">
        <f>$AG96*INDEX(BW_AUTRES,1)</f>
        <v>0</v>
      </c>
      <c r="AY96" s="306">
        <f>$AG96*INDEX(BW_AUTRES,2)</f>
        <v>0</v>
      </c>
      <c r="AZ96" s="306">
        <f>$AG96*INDEX(BW_AUTRES,3)</f>
        <v>0</v>
      </c>
      <c r="BA96" s="306">
        <f>$AG96*INDEX(BW_AUTRES,4)</f>
        <v>0</v>
      </c>
      <c r="BB96" s="307">
        <f>AH96+AL96+AP96+AT96+AX96</f>
        <v>0</v>
      </c>
      <c r="BC96" s="308">
        <f>AJ96+AN96+AR96+AV96+AZ96</f>
        <v>0</v>
      </c>
      <c r="BD96" s="307">
        <f t="shared" ref="BD96" si="48">AI96+AM96+AQ96+AU96+AY96</f>
        <v>0</v>
      </c>
      <c r="BE96" s="308">
        <f>AK96+AO96+AS96+AW96+BA96</f>
        <v>0</v>
      </c>
      <c r="BF96" s="306">
        <f>IF(SUM($AC96:$AG96)&gt;0,BB96/SUM($AC96:$AG96),0)</f>
        <v>0</v>
      </c>
      <c r="BG96" s="306">
        <f>IF(SUM($AC96:$AG96)&gt;0,BD96/SUM($AC96:$AG96),0)</f>
        <v>0</v>
      </c>
    </row>
    <row r="97" spans="1:60" ht="17" thickBot="1" x14ac:dyDescent="0.25">
      <c r="A97" s="4"/>
      <c r="B97" s="383" t="s">
        <v>120</v>
      </c>
      <c r="C97" s="384"/>
      <c r="D97" s="384"/>
      <c r="E97" s="384"/>
      <c r="F97" s="384"/>
      <c r="G97" s="385"/>
      <c r="H97" s="296"/>
      <c r="I97" s="119" t="s">
        <v>67</v>
      </c>
      <c r="J97" s="296"/>
      <c r="K97" s="296"/>
      <c r="L97" s="296"/>
      <c r="M97" s="296"/>
      <c r="N97" s="296"/>
      <c r="O97" s="296"/>
      <c r="P97" s="296"/>
      <c r="Q97" s="296"/>
      <c r="R97" s="4"/>
      <c r="T97" s="289"/>
      <c r="Y97" s="306"/>
      <c r="Z97" s="306">
        <f>SUM(Z91:Z96)</f>
        <v>0</v>
      </c>
      <c r="AA97" s="306"/>
    </row>
    <row r="98" spans="1:60" ht="16" customHeight="1" x14ac:dyDescent="0.2">
      <c r="A98" s="4"/>
      <c r="B98" s="396" t="s">
        <v>132</v>
      </c>
      <c r="C98" s="397"/>
      <c r="D98" s="398"/>
      <c r="E98" s="334" t="str">
        <f>IF(AM85&gt;0,AM85,"&gt; bât. "&amp;AC87)</f>
        <v>&gt; bât. 1</v>
      </c>
      <c r="F98" s="399" t="s">
        <v>122</v>
      </c>
      <c r="G98" s="400"/>
      <c r="H98" s="296"/>
      <c r="I98" s="388" t="s">
        <v>123</v>
      </c>
      <c r="J98" s="389"/>
      <c r="K98" s="390"/>
      <c r="L98" s="335">
        <f>Z97</f>
        <v>0</v>
      </c>
      <c r="M98" s="296"/>
      <c r="N98" s="4"/>
      <c r="O98" s="4"/>
      <c r="P98" s="4"/>
      <c r="Q98" s="4"/>
      <c r="R98" s="4"/>
      <c r="T98" s="289"/>
      <c r="Z98">
        <f>COUNTIF(Z91:Z96,"&gt;0")</f>
        <v>0</v>
      </c>
    </row>
    <row r="99" spans="1:60" ht="16" customHeight="1" x14ac:dyDescent="0.2">
      <c r="A99" s="4"/>
      <c r="B99" s="401" t="s">
        <v>124</v>
      </c>
      <c r="C99" s="402"/>
      <c r="D99" s="403"/>
      <c r="E99" s="336" t="str">
        <f>IF(AM87&gt;0,AM87,"&gt; bât. "&amp;AC87)</f>
        <v>&gt; bât. 1</v>
      </c>
      <c r="F99" s="404" t="str">
        <f>IF(AG85&gt;0,"1 ","") &amp; IF(AH85&gt;0,"2 ","") &amp; IF(AI85&gt;0,"3 ","") &amp; IF(AJ85&gt;0,"4 ","") &amp; IF(AK85&gt;0,"5","")</f>
        <v/>
      </c>
      <c r="G99" s="405"/>
      <c r="H99" s="296"/>
      <c r="I99" s="391" t="s">
        <v>125</v>
      </c>
      <c r="J99" s="392"/>
      <c r="K99" s="393"/>
      <c r="L99" s="337">
        <f>Z98</f>
        <v>0</v>
      </c>
      <c r="M99" s="296"/>
      <c r="N99" s="4"/>
      <c r="O99" s="4"/>
      <c r="P99" s="4"/>
      <c r="Q99" s="4"/>
      <c r="R99" s="4"/>
      <c r="T99" s="289"/>
    </row>
    <row r="100" spans="1:60" x14ac:dyDescent="0.2">
      <c r="A100" s="4"/>
      <c r="B100" s="4"/>
      <c r="C100" s="4"/>
      <c r="D100" s="4"/>
      <c r="E100" s="4"/>
      <c r="F100" s="4"/>
      <c r="G100" s="4"/>
      <c r="H100" s="4"/>
      <c r="I100" s="4"/>
      <c r="J100" s="4"/>
      <c r="K100" s="4"/>
      <c r="L100" s="4"/>
      <c r="M100" s="4"/>
      <c r="N100" s="4"/>
      <c r="O100" s="4"/>
      <c r="P100" s="4"/>
      <c r="Q100" s="4"/>
      <c r="R100" s="4"/>
      <c r="U100" s="4"/>
      <c r="V100" s="4"/>
      <c r="W100" s="4"/>
      <c r="X100" s="4"/>
      <c r="Y100" s="4"/>
      <c r="Z100" s="4"/>
      <c r="AA100" s="4"/>
      <c r="AB100" s="4"/>
      <c r="AC100" s="4"/>
      <c r="AD100" s="4"/>
      <c r="AE100" s="4"/>
      <c r="AF100" s="311"/>
      <c r="AG100" s="42"/>
      <c r="AH100" s="42"/>
      <c r="AI100" s="42"/>
      <c r="AJ100" s="42"/>
      <c r="AK100" s="42"/>
      <c r="AL100" s="42"/>
      <c r="AM100" s="42"/>
      <c r="AN100" s="4"/>
      <c r="AO100" s="4"/>
      <c r="AP100" s="4"/>
      <c r="AQ100" s="4"/>
      <c r="AR100" s="4"/>
      <c r="AS100" s="4"/>
      <c r="AT100" s="4"/>
      <c r="AU100" s="4"/>
      <c r="AV100" s="4"/>
      <c r="AW100" s="4"/>
      <c r="AX100" s="4"/>
      <c r="AY100" s="4"/>
      <c r="AZ100" s="4"/>
      <c r="BA100" s="4"/>
      <c r="BB100" s="4"/>
      <c r="BC100" s="4"/>
      <c r="BD100" s="4"/>
      <c r="BE100" s="4"/>
      <c r="BF100" s="4"/>
      <c r="BG100" s="4"/>
      <c r="BH100" s="4"/>
    </row>
    <row r="101" spans="1:60" x14ac:dyDescent="0.2">
      <c r="A101" s="4"/>
      <c r="B101" s="4"/>
      <c r="C101" s="4"/>
      <c r="D101" s="4"/>
      <c r="E101" s="4"/>
      <c r="F101" s="4"/>
      <c r="G101" s="4"/>
      <c r="H101" s="4"/>
      <c r="I101" s="4"/>
      <c r="J101" s="4"/>
      <c r="K101" s="4"/>
      <c r="L101" s="4"/>
      <c r="M101" s="4"/>
      <c r="N101" s="4"/>
      <c r="O101" s="4"/>
      <c r="P101" s="4"/>
      <c r="Q101" s="4"/>
      <c r="R101" s="4"/>
      <c r="AF101" s="278"/>
      <c r="AG101" s="279">
        <f>IF(AND(AC102=AC104,$AC$36=$AC102),1,0)</f>
        <v>0</v>
      </c>
      <c r="AH101" s="279">
        <f>IF(AND(AC102=AC104,$AC$53=$AC102),2,0)</f>
        <v>0</v>
      </c>
      <c r="AI101" s="279">
        <f>IF(AND(AC102=AC104,$AC$70=$AC102),3,0)</f>
        <v>0</v>
      </c>
      <c r="AJ101" s="279">
        <f>IF(AND(AC102=AC104,$AC$87=$AC102),4,0)</f>
        <v>0</v>
      </c>
      <c r="AK101" s="279">
        <f>IF(AND(AC102=AC104,$AC$104=$AC102),5,0)</f>
        <v>0</v>
      </c>
      <c r="AL101" s="279" t="s">
        <v>51</v>
      </c>
      <c r="AM101" s="280" t="s">
        <v>52</v>
      </c>
    </row>
    <row r="102" spans="1:60" ht="19" x14ac:dyDescent="0.25">
      <c r="A102" s="4"/>
      <c r="B102" s="309" t="s">
        <v>134</v>
      </c>
      <c r="C102" s="4"/>
      <c r="D102" s="109" t="s">
        <v>54</v>
      </c>
      <c r="E102" s="422"/>
      <c r="F102" s="423"/>
      <c r="G102" s="4"/>
      <c r="H102" s="4"/>
      <c r="I102" s="4"/>
      <c r="J102" s="4"/>
      <c r="K102" s="4"/>
      <c r="L102" s="4"/>
      <c r="M102" s="4"/>
      <c r="N102" s="4"/>
      <c r="O102" s="4"/>
      <c r="P102" s="4"/>
      <c r="Q102" s="4"/>
      <c r="R102" s="4"/>
      <c r="AC102">
        <f>VALUE(RIGHT(B102,1))</f>
        <v>5</v>
      </c>
      <c r="AF102" s="282" t="s">
        <v>55</v>
      </c>
      <c r="AG102">
        <f>IF(AG101&gt;0,$BB$45,0)</f>
        <v>0</v>
      </c>
      <c r="AH102">
        <f>IF(AH101&gt;0,$BB$62,0)</f>
        <v>0</v>
      </c>
      <c r="AI102">
        <f>IF(AI101&gt;0,$BB$79,0)</f>
        <v>0</v>
      </c>
      <c r="AJ102">
        <f>IF(AJ101&gt;0,$BB$96,0)</f>
        <v>0</v>
      </c>
      <c r="AK102">
        <f>IF(AK101&gt;0,$BB$113,0)</f>
        <v>0</v>
      </c>
      <c r="AL102">
        <f>SUM(AG102:AK102)</f>
        <v>0</v>
      </c>
      <c r="AM102" s="283">
        <f>ROUND(AL102/10,0)*10</f>
        <v>0</v>
      </c>
    </row>
    <row r="103" spans="1:60" x14ac:dyDescent="0.2">
      <c r="A103" s="4"/>
      <c r="B103" s="4"/>
      <c r="C103" s="4"/>
      <c r="D103" s="281" t="s">
        <v>56</v>
      </c>
      <c r="E103" s="420" t="s">
        <v>127</v>
      </c>
      <c r="F103" s="421"/>
      <c r="G103" s="4"/>
      <c r="H103" s="4"/>
      <c r="I103" s="4"/>
      <c r="J103" s="4"/>
      <c r="K103" s="4"/>
      <c r="L103" s="4"/>
      <c r="M103" s="4"/>
      <c r="N103" s="4"/>
      <c r="O103" s="4"/>
      <c r="P103" s="4"/>
      <c r="Q103" s="4"/>
      <c r="R103" s="4"/>
      <c r="AF103" s="282" t="s">
        <v>58</v>
      </c>
      <c r="AG103">
        <f>IF(AG102&gt;0,$BC$45,0)</f>
        <v>0</v>
      </c>
      <c r="AH103">
        <f>IF(AH102&gt;0,$BC$62,0)</f>
        <v>0</v>
      </c>
      <c r="AI103">
        <f>IF(AI102&gt;0,$BC$79,0)</f>
        <v>0</v>
      </c>
      <c r="AJ103">
        <f>IF(AJ102&gt;0,$BC$96,0)</f>
        <v>0</v>
      </c>
      <c r="AK103">
        <f>IF(AK102&gt;0,$BC$113,0)</f>
        <v>0</v>
      </c>
      <c r="AL103">
        <f t="shared" ref="AL103:AL105" si="49">SUM(AG103:AK103)</f>
        <v>0</v>
      </c>
      <c r="AM103" s="283">
        <f>ROUNDUP(AL103/10,0)*10</f>
        <v>0</v>
      </c>
    </row>
    <row r="104" spans="1:60" x14ac:dyDescent="0.2">
      <c r="A104" s="4"/>
      <c r="B104" s="4"/>
      <c r="C104" s="4"/>
      <c r="D104" s="281" t="s">
        <v>59</v>
      </c>
      <c r="E104" s="386" t="s">
        <v>128</v>
      </c>
      <c r="F104" s="387"/>
      <c r="G104" s="310" t="str">
        <f ca="1">IF(AE104=1,"       Le bâtiment désigné n'est pas raccordé à internet !","")</f>
        <v/>
      </c>
      <c r="H104" s="310"/>
      <c r="I104" s="4"/>
      <c r="J104" s="4"/>
      <c r="K104" s="4"/>
      <c r="L104" s="4"/>
      <c r="M104" s="4"/>
      <c r="N104" s="4"/>
      <c r="O104" s="4"/>
      <c r="P104" s="4"/>
      <c r="Q104" s="4"/>
      <c r="R104" s="4"/>
      <c r="AC104">
        <f>IF(OR(E103="non",E103="nein"),VALUE(RIGHT(E104,1)),VALUE(RIGHT(B102,1)))</f>
        <v>1</v>
      </c>
      <c r="AD104" t="str">
        <f>ADDRESS((AC104-1)*pas_vertical+ROW(E$36),COLUMN(AC104))</f>
        <v>$AC$36</v>
      </c>
      <c r="AE104" cm="1">
        <f t="array" aca="1" ref="AE104" ca="1">IF(AC104&lt;&gt;INDIRECT(ADDRESS((AC104-1)*17+ROW(E$36),COLUMN(AC104))),1,0)</f>
        <v>0</v>
      </c>
      <c r="AF104" s="282" t="s">
        <v>61</v>
      </c>
      <c r="AG104">
        <f>IF(AG103&gt;0,$BD$45,0)</f>
        <v>0</v>
      </c>
      <c r="AH104">
        <f>IF(AH103&gt;0,$BD$62,0)</f>
        <v>0</v>
      </c>
      <c r="AI104">
        <f>IF(AI103&gt;0,$BD$79,0)</f>
        <v>0</v>
      </c>
      <c r="AJ104">
        <f>IF(AJ103&gt;0,$BD$96,0)</f>
        <v>0</v>
      </c>
      <c r="AK104">
        <f>IF(AK103&gt;0,$BD$113,0)</f>
        <v>0</v>
      </c>
      <c r="AL104">
        <f t="shared" si="49"/>
        <v>0</v>
      </c>
      <c r="AM104" s="283">
        <f t="shared" ref="AM104" si="50">ROUND(AL104/10,0)*10</f>
        <v>0</v>
      </c>
    </row>
    <row r="105" spans="1:60" x14ac:dyDescent="0.2">
      <c r="A105" s="4"/>
      <c r="B105" s="4"/>
      <c r="C105" s="4"/>
      <c r="D105" s="109"/>
      <c r="E105" s="4"/>
      <c r="F105" s="4"/>
      <c r="G105" s="4"/>
      <c r="H105" s="4"/>
      <c r="I105" s="4"/>
      <c r="J105" s="4"/>
      <c r="K105" s="4"/>
      <c r="L105" s="4"/>
      <c r="M105" s="4"/>
      <c r="N105" s="4"/>
      <c r="O105" s="4"/>
      <c r="P105" s="4"/>
      <c r="Q105" s="4"/>
      <c r="R105" s="4"/>
      <c r="T105" s="17" t="s">
        <v>62</v>
      </c>
      <c r="AF105" s="285" t="s">
        <v>63</v>
      </c>
      <c r="AG105" s="286">
        <f>IF(AG104&gt;0,$BE$45,0)</f>
        <v>0</v>
      </c>
      <c r="AH105" s="286">
        <f>IF(AH104&gt;0,$BE$62,0)</f>
        <v>0</v>
      </c>
      <c r="AI105" s="286">
        <f>IF(AI104&gt;0,$BE$79,0)</f>
        <v>0</v>
      </c>
      <c r="AJ105" s="286">
        <f>IF(AJ104&gt;0,$BE$96,0)</f>
        <v>0</v>
      </c>
      <c r="AK105" s="286">
        <f>IF(AK104&gt;0,$BE$113,0)</f>
        <v>0</v>
      </c>
      <c r="AL105" s="286">
        <f t="shared" si="49"/>
        <v>0</v>
      </c>
      <c r="AM105" s="287">
        <f>ROUNDUP(AL105/10,0)*10</f>
        <v>0</v>
      </c>
    </row>
    <row r="106" spans="1:60" ht="28" customHeight="1" x14ac:dyDescent="0.2">
      <c r="A106" s="4"/>
      <c r="B106" s="275"/>
      <c r="C106" s="383" t="s">
        <v>64</v>
      </c>
      <c r="D106" s="384"/>
      <c r="E106" s="384"/>
      <c r="F106" s="384"/>
      <c r="G106" s="385"/>
      <c r="H106" s="394" t="s">
        <v>65</v>
      </c>
      <c r="I106" s="383" t="s">
        <v>66</v>
      </c>
      <c r="J106" s="385"/>
      <c r="K106" s="383" t="s">
        <v>67</v>
      </c>
      <c r="L106" s="385"/>
      <c r="M106" s="288"/>
      <c r="N106" s="383" t="s">
        <v>68</v>
      </c>
      <c r="O106" s="384"/>
      <c r="P106" s="384"/>
      <c r="Q106" s="385"/>
      <c r="R106" s="4"/>
      <c r="T106" s="289" t="s">
        <v>69</v>
      </c>
      <c r="U106" s="277" t="s">
        <v>70</v>
      </c>
      <c r="Y106" s="277" t="s">
        <v>71</v>
      </c>
      <c r="Z106" s="277"/>
      <c r="AA106" s="277"/>
    </row>
    <row r="107" spans="1:60" ht="48" x14ac:dyDescent="0.2">
      <c r="A107" s="4"/>
      <c r="B107" s="275"/>
      <c r="C107" s="119" t="s">
        <v>19</v>
      </c>
      <c r="D107" s="119" t="s">
        <v>20</v>
      </c>
      <c r="E107" s="119" t="s">
        <v>21</v>
      </c>
      <c r="F107" s="119" t="s">
        <v>22</v>
      </c>
      <c r="G107" s="119" t="s">
        <v>23</v>
      </c>
      <c r="H107" s="395"/>
      <c r="I107" s="119" t="s">
        <v>72</v>
      </c>
      <c r="J107" s="119" t="s">
        <v>73</v>
      </c>
      <c r="K107" s="119" t="s">
        <v>74</v>
      </c>
      <c r="L107" s="119" t="s">
        <v>75</v>
      </c>
      <c r="M107" s="290"/>
      <c r="N107" s="119" t="s">
        <v>34</v>
      </c>
      <c r="O107" s="119" t="s">
        <v>76</v>
      </c>
      <c r="P107" s="119" t="s">
        <v>77</v>
      </c>
      <c r="Q107" s="119" t="s">
        <v>78</v>
      </c>
      <c r="R107" s="4"/>
      <c r="T107" s="289"/>
      <c r="U107" s="291" t="s">
        <v>36</v>
      </c>
      <c r="V107" s="291" t="s">
        <v>79</v>
      </c>
      <c r="W107" s="291" t="s">
        <v>80</v>
      </c>
      <c r="Y107" s="291" t="s">
        <v>81</v>
      </c>
      <c r="Z107" s="291" t="s">
        <v>82</v>
      </c>
      <c r="AA107" s="291" t="s">
        <v>83</v>
      </c>
      <c r="AC107" s="291" t="s">
        <v>84</v>
      </c>
      <c r="AD107" s="291" t="s">
        <v>85</v>
      </c>
      <c r="AE107" s="291" t="s">
        <v>86</v>
      </c>
      <c r="AF107" s="291" t="s">
        <v>131</v>
      </c>
      <c r="AG107" s="291" t="s">
        <v>88</v>
      </c>
      <c r="AH107" s="292" t="s">
        <v>89</v>
      </c>
      <c r="AI107" s="291" t="s">
        <v>90</v>
      </c>
      <c r="AJ107" s="291" t="s">
        <v>91</v>
      </c>
      <c r="AK107" s="291" t="s">
        <v>92</v>
      </c>
      <c r="AL107" s="292" t="s">
        <v>93</v>
      </c>
      <c r="AM107" s="291" t="s">
        <v>94</v>
      </c>
      <c r="AN107" s="291" t="s">
        <v>95</v>
      </c>
      <c r="AO107" s="291" t="s">
        <v>96</v>
      </c>
      <c r="AP107" s="292" t="s">
        <v>97</v>
      </c>
      <c r="AQ107" s="291" t="s">
        <v>98</v>
      </c>
      <c r="AR107" s="291" t="s">
        <v>99</v>
      </c>
      <c r="AS107" s="291" t="s">
        <v>100</v>
      </c>
      <c r="AT107" s="292" t="s">
        <v>101</v>
      </c>
      <c r="AU107" s="291" t="s">
        <v>102</v>
      </c>
      <c r="AV107" s="291" t="s">
        <v>103</v>
      </c>
      <c r="AW107" s="291" t="s">
        <v>104</v>
      </c>
      <c r="AX107" s="292" t="s">
        <v>105</v>
      </c>
      <c r="AY107" s="291" t="s">
        <v>106</v>
      </c>
      <c r="AZ107" s="291" t="s">
        <v>107</v>
      </c>
      <c r="BA107" s="291" t="s">
        <v>108</v>
      </c>
      <c r="BB107" s="293" t="s">
        <v>109</v>
      </c>
      <c r="BC107" s="293" t="s">
        <v>110</v>
      </c>
      <c r="BD107" s="293" t="s">
        <v>111</v>
      </c>
      <c r="BE107" s="293" t="s">
        <v>112</v>
      </c>
      <c r="BF107" s="291" t="s">
        <v>113</v>
      </c>
      <c r="BG107" s="291" t="s">
        <v>114</v>
      </c>
    </row>
    <row r="108" spans="1:60" ht="16" x14ac:dyDescent="0.2">
      <c r="A108" s="4"/>
      <c r="B108" s="294" t="s">
        <v>115</v>
      </c>
      <c r="C108" s="93"/>
      <c r="D108" s="94"/>
      <c r="E108" s="94"/>
      <c r="F108" s="94"/>
      <c r="G108" s="94"/>
      <c r="H108" s="57"/>
      <c r="I108" s="58"/>
      <c r="J108" s="58"/>
      <c r="K108" s="295">
        <f>SUM(C108:G108)+H108+(J108&gt;0)</f>
        <v>0</v>
      </c>
      <c r="L108" s="295">
        <f>3*(SUM(C108:G108)+H108)+I108+1*(J108&gt;0)</f>
        <v>0</v>
      </c>
      <c r="M108" s="296"/>
      <c r="N108" s="346"/>
      <c r="O108" s="349"/>
      <c r="P108" s="61"/>
      <c r="Q108" s="297">
        <f>O108-P108</f>
        <v>0</v>
      </c>
      <c r="R108" s="4"/>
      <c r="T108" s="289">
        <f ca="1">C108*Dotation_Déterm_1_2H+D108*Dotation_Déterm_3_4H+ROUNDUP(E108*ElevePClasse_5_6H/Dotation_Déterm_5_6H,0)+ROUNDUP(F108*ElevePClasse_7_8H/Dotation_Déterm_7_8H,0)+ROUNDUP(G108*ElevePClasse_9_11H/Dotation_Déterm_9_11H,0)</f>
        <v>0</v>
      </c>
      <c r="U108">
        <f>IF(ISTEXT(N108),VLOOKUP(N108,Syst_Rang,2,0),0)</f>
        <v>0</v>
      </c>
      <c r="V108">
        <f>U108*O108</f>
        <v>0</v>
      </c>
      <c r="W108">
        <f t="shared" ref="W108" si="51">U108*Q108</f>
        <v>0</v>
      </c>
      <c r="Y108">
        <f>L108+AA109</f>
        <v>0</v>
      </c>
      <c r="Z108">
        <f>IF(Y108&gt;22,ROUNDUP(Y108/22,0),0)</f>
        <v>0</v>
      </c>
      <c r="AA108">
        <f t="shared" ref="AA108:AA111" si="52">IF(Z108=0,Y108,0)</f>
        <v>0</v>
      </c>
      <c r="AC108">
        <f>C108*Dotation_Déterm_1_2H+D108*Dotation_Déterm_3_4H+ROUNDUP(E108*Max_ElevePClasse_5_6H/Dotation_Déterm_5_6H,0)+ROUNDUP(F108*Max_ElevePClasse_7_8H/Dotation_Déterm_7_8H,0)</f>
        <v>0</v>
      </c>
      <c r="AD108">
        <f>ROUNDUP(G108*Moy_ElevePClasse_9_11H/Dotation_Déterm_9_12H,0)</f>
        <v>0</v>
      </c>
      <c r="AE108" s="298">
        <f>SUM(C108:G108)</f>
        <v>0</v>
      </c>
      <c r="AF108" s="298">
        <f>H108</f>
        <v>0</v>
      </c>
      <c r="AG108">
        <f>$I108</f>
        <v>0</v>
      </c>
      <c r="AH108" s="282"/>
      <c r="AL108" s="282"/>
      <c r="AP108" s="282"/>
      <c r="AT108" s="282"/>
      <c r="AX108" s="282"/>
      <c r="BB108" s="282"/>
    </row>
    <row r="109" spans="1:60" ht="16" x14ac:dyDescent="0.2">
      <c r="A109" s="4"/>
      <c r="B109" s="299" t="s">
        <v>116</v>
      </c>
      <c r="C109" s="93"/>
      <c r="D109" s="94"/>
      <c r="E109" s="94"/>
      <c r="F109" s="94"/>
      <c r="G109" s="94"/>
      <c r="H109" s="57"/>
      <c r="I109" s="58"/>
      <c r="J109" s="58"/>
      <c r="K109" s="295">
        <f>SUM(C109:G109)+H109+(J109&gt;0)</f>
        <v>0</v>
      </c>
      <c r="L109" s="295">
        <f>3*(SUM(C109:G109)+H109)+I109+1*(J109&gt;0)</f>
        <v>0</v>
      </c>
      <c r="M109" s="296"/>
      <c r="N109" s="347"/>
      <c r="O109" s="102"/>
      <c r="P109" s="62"/>
      <c r="Q109" s="295">
        <f t="shared" ref="Q109:Q112" si="53">O109-P109</f>
        <v>0</v>
      </c>
      <c r="R109" s="4"/>
      <c r="T109" s="289">
        <f ca="1">C109*Dotation_Déterm_1_2H+D109*Dotation_Déterm_3_4H+ROUNDUP(E109*ElevePClasse_5_6H/Dotation_Déterm_5_6H,0)+ROUNDUP(F109*ElevePClasse_7_8H/Dotation_Déterm_7_8H,0)+ROUNDUP(G109*ElevePClasse_9_11H/Dotation_Déterm_9_11H,0)</f>
        <v>0</v>
      </c>
      <c r="U109">
        <f>IF(ISTEXT(N109),VLOOKUP(N109,Syst_Rang,2,0),0)</f>
        <v>0</v>
      </c>
      <c r="V109">
        <f t="shared" ref="V109:V112" si="54">U109*O109</f>
        <v>0</v>
      </c>
      <c r="W109">
        <f>U109*Q109</f>
        <v>0</v>
      </c>
      <c r="Y109">
        <f>L109+AA110</f>
        <v>0</v>
      </c>
      <c r="Z109">
        <f>IF(Y109+L108&gt;22,ROUNDUP(Y109/22,0),0)</f>
        <v>0</v>
      </c>
      <c r="AA109">
        <f t="shared" si="52"/>
        <v>0</v>
      </c>
      <c r="AC109">
        <f>C109*Dotation_Déterm_1_2H+D109*Dotation_Déterm_3_4H+ROUNDUP(E109*Max_ElevePClasse_5_6H/Dotation_Déterm_5_6H,0)+ROUNDUP(F109*Max_ElevePClasse_7_8H/Dotation_Déterm_7_8H,0)</f>
        <v>0</v>
      </c>
      <c r="AD109">
        <f>ROUNDUP(G109*Moy_ElevePClasse_9_11H/Dotation_Déterm_9_12H,0)</f>
        <v>0</v>
      </c>
      <c r="AE109" s="298">
        <f>SUM(C109:G109)</f>
        <v>0</v>
      </c>
      <c r="AF109" s="298">
        <f>H109</f>
        <v>0</v>
      </c>
      <c r="AG109">
        <f>$I109</f>
        <v>0</v>
      </c>
      <c r="AH109" s="282"/>
      <c r="AL109" s="282"/>
      <c r="AP109" s="282"/>
      <c r="AT109" s="282"/>
      <c r="AX109" s="282"/>
      <c r="BB109" s="282"/>
    </row>
    <row r="110" spans="1:60" ht="16" x14ac:dyDescent="0.2">
      <c r="A110" s="4"/>
      <c r="B110" s="299" t="s">
        <v>117</v>
      </c>
      <c r="C110" s="93"/>
      <c r="D110" s="94"/>
      <c r="E110" s="94"/>
      <c r="F110" s="94"/>
      <c r="G110" s="94"/>
      <c r="H110" s="57"/>
      <c r="I110" s="58"/>
      <c r="J110" s="58"/>
      <c r="K110" s="295">
        <f>SUM(C110:G110)+H110+(J110&gt;0)</f>
        <v>0</v>
      </c>
      <c r="L110" s="295">
        <f>3*(SUM(C110:G110)+H110)+I110+1*(J110&gt;0)</f>
        <v>0</v>
      </c>
      <c r="M110" s="296"/>
      <c r="N110" s="347"/>
      <c r="O110" s="102"/>
      <c r="P110" s="62"/>
      <c r="Q110" s="295">
        <f t="shared" si="53"/>
        <v>0</v>
      </c>
      <c r="R110" s="4"/>
      <c r="T110" s="289">
        <f ca="1">C110*Dotation_Déterm_1_2H+D110*Dotation_Déterm_3_4H+ROUNDUP(E110*ElevePClasse_5_6H/Dotation_Déterm_5_6H,0)+ROUNDUP(F110*ElevePClasse_7_8H/Dotation_Déterm_7_8H,0)+ROUNDUP(G110*ElevePClasse_9_11H/Dotation_Déterm_9_11H,0)</f>
        <v>0</v>
      </c>
      <c r="U110">
        <f>IF(ISTEXT(N110),VLOOKUP(N110,Syst_Rang,2,0),0)</f>
        <v>0</v>
      </c>
      <c r="V110">
        <f t="shared" si="54"/>
        <v>0</v>
      </c>
      <c r="W110">
        <f t="shared" ref="W110:W112" si="55">U110*Q110</f>
        <v>0</v>
      </c>
      <c r="Y110">
        <f>L110+AA111</f>
        <v>0</v>
      </c>
      <c r="Z110">
        <f>IF(Y110+L109&gt;22,ROUNDUP(Y110/22,0),0)</f>
        <v>0</v>
      </c>
      <c r="AA110">
        <f t="shared" si="52"/>
        <v>0</v>
      </c>
      <c r="AC110">
        <f>C110*Dotation_Déterm_1_2H+D110*Dotation_Déterm_3_4H+ROUNDUP(E110*Max_ElevePClasse_5_6H/Dotation_Déterm_5_6H,0)+ROUNDUP(F110*Max_ElevePClasse_7_8H/Dotation_Déterm_7_8H,0)</f>
        <v>0</v>
      </c>
      <c r="AD110">
        <f>ROUNDUP(G110*Moy_ElevePClasse_9_11H/Dotation_Déterm_9_12H,0)</f>
        <v>0</v>
      </c>
      <c r="AE110" s="298">
        <f>SUM(C110:G110)</f>
        <v>0</v>
      </c>
      <c r="AF110" s="298">
        <f>H110</f>
        <v>0</v>
      </c>
      <c r="AG110">
        <f>$I110</f>
        <v>0</v>
      </c>
      <c r="AH110" s="282"/>
      <c r="AL110" s="282"/>
      <c r="AP110" s="282"/>
      <c r="AT110" s="282"/>
      <c r="AX110" s="282"/>
      <c r="BB110" s="282"/>
    </row>
    <row r="111" spans="1:60" ht="16" x14ac:dyDescent="0.2">
      <c r="A111" s="4"/>
      <c r="B111" s="299" t="s">
        <v>118</v>
      </c>
      <c r="C111" s="93"/>
      <c r="D111" s="94"/>
      <c r="E111" s="94"/>
      <c r="F111" s="94"/>
      <c r="G111" s="94"/>
      <c r="H111" s="57"/>
      <c r="I111" s="58"/>
      <c r="J111" s="58"/>
      <c r="K111" s="295">
        <f>SUM(C111:G111)+H111+(J111&gt;0)</f>
        <v>0</v>
      </c>
      <c r="L111" s="295">
        <f>3*(SUM(C111:G111)+H111)+I111+1*(J111&gt;0)</f>
        <v>0</v>
      </c>
      <c r="M111" s="296"/>
      <c r="N111" s="347"/>
      <c r="O111" s="102"/>
      <c r="P111" s="62"/>
      <c r="Q111" s="295">
        <f t="shared" si="53"/>
        <v>0</v>
      </c>
      <c r="R111" s="4"/>
      <c r="T111" s="289">
        <f ca="1">C111*Dotation_Déterm_1_2H+D111*Dotation_Déterm_3_4H+ROUNDUP(E111*ElevePClasse_5_6H/Dotation_Déterm_5_6H,0)+ROUNDUP(F111*ElevePClasse_7_8H/Dotation_Déterm_7_8H,0)+ROUNDUP(G111*ElevePClasse_9_11H/Dotation_Déterm_9_11H,0)</f>
        <v>0</v>
      </c>
      <c r="U111">
        <f>IF(ISTEXT(N111),VLOOKUP(N111,Syst_Rang,2,0),0)</f>
        <v>0</v>
      </c>
      <c r="V111">
        <f t="shared" si="54"/>
        <v>0</v>
      </c>
      <c r="W111">
        <f t="shared" si="55"/>
        <v>0</v>
      </c>
      <c r="Y111">
        <f>L111+AA112</f>
        <v>0</v>
      </c>
      <c r="Z111">
        <f>IF(Y111+L110&gt;22,ROUNDUP(Y111/22,0),0)</f>
        <v>0</v>
      </c>
      <c r="AA111">
        <f t="shared" si="52"/>
        <v>0</v>
      </c>
      <c r="AC111">
        <f>C111*Dotation_Déterm_1_2H+D111*Dotation_Déterm_3_4H+ROUNDUP(E111*Max_ElevePClasse_5_6H/Dotation_Déterm_5_6H,0)+ROUNDUP(F111*Max_ElevePClasse_7_8H/Dotation_Déterm_7_8H,0)</f>
        <v>0</v>
      </c>
      <c r="AD111">
        <f>ROUNDUP(G111*Moy_ElevePClasse_9_11H/Dotation_Déterm_9_12H,0)</f>
        <v>0</v>
      </c>
      <c r="AE111" s="298">
        <f>SUM(C111:G111)</f>
        <v>0</v>
      </c>
      <c r="AF111" s="298">
        <f>H111</f>
        <v>0</v>
      </c>
      <c r="AG111">
        <f>$I111</f>
        <v>0</v>
      </c>
      <c r="AH111" s="282"/>
      <c r="AL111" s="282"/>
      <c r="AP111" s="282"/>
      <c r="AT111" s="282"/>
      <c r="AX111" s="282"/>
      <c r="BB111" s="282"/>
    </row>
    <row r="112" spans="1:60" ht="16" x14ac:dyDescent="0.2">
      <c r="A112" s="4"/>
      <c r="B112" s="300" t="s">
        <v>119</v>
      </c>
      <c r="C112" s="95"/>
      <c r="D112" s="96"/>
      <c r="E112" s="96"/>
      <c r="F112" s="96"/>
      <c r="G112" s="96"/>
      <c r="H112" s="59"/>
      <c r="I112" s="60"/>
      <c r="J112" s="60"/>
      <c r="K112" s="295">
        <f>SUM(C112:G112)+H112+(J112&gt;0)</f>
        <v>0</v>
      </c>
      <c r="L112" s="295">
        <f>3*(SUM(C112:G112)+H112)+I112+1*(J112&gt;0)</f>
        <v>0</v>
      </c>
      <c r="M112" s="296"/>
      <c r="N112" s="348"/>
      <c r="O112" s="350"/>
      <c r="P112" s="63"/>
      <c r="Q112" s="301">
        <f t="shared" si="53"/>
        <v>0</v>
      </c>
      <c r="R112" s="4"/>
      <c r="T112" s="289">
        <f ca="1">C112*Dotation_Déterm_1_2H+D112*Dotation_Déterm_3_4H+ROUNDUP(E112*ElevePClasse_5_6H/Dotation_Déterm_5_6H,0)+ROUNDUP(F112*ElevePClasse_7_8H/Dotation_Déterm_7_8H,0)+ROUNDUP(G112*ElevePClasse_9_11H/Dotation_Déterm_9_11H,0)</f>
        <v>0</v>
      </c>
      <c r="U112">
        <f>IF(ISTEXT(N112),VLOOKUP(N112,Syst_Rang,2,0),0)</f>
        <v>0</v>
      </c>
      <c r="V112">
        <f t="shared" si="54"/>
        <v>0</v>
      </c>
      <c r="W112">
        <f t="shared" si="55"/>
        <v>0</v>
      </c>
      <c r="Y112">
        <f>L112</f>
        <v>0</v>
      </c>
      <c r="Z112">
        <f>IF(Y112+L111&gt;22,ROUNDUP(Y112/22,0),0)</f>
        <v>0</v>
      </c>
      <c r="AA112">
        <f>IF(Z112=0,Y112,0)</f>
        <v>0</v>
      </c>
      <c r="AC112">
        <f>C112*Dotation_Déterm_1_2H+D112*Dotation_Déterm_3_4H+ROUNDUP(E112*Max_ElevePClasse_5_6H/Dotation_Déterm_5_6H,0)+ROUNDUP(F112*Max_ElevePClasse_7_8H/Dotation_Déterm_7_8H,0)</f>
        <v>0</v>
      </c>
      <c r="AD112">
        <f>ROUNDUP(G112*Moy_ElevePClasse_9_11H/Dotation_Déterm_9_12H,0)</f>
        <v>0</v>
      </c>
      <c r="AE112" s="298">
        <f>SUM(C112:G112)</f>
        <v>0</v>
      </c>
      <c r="AF112" s="298">
        <f>H112</f>
        <v>0</v>
      </c>
      <c r="AG112">
        <f>$I112</f>
        <v>0</v>
      </c>
      <c r="AH112" s="282"/>
      <c r="AL112" s="282"/>
      <c r="AP112" s="282"/>
      <c r="AT112" s="282"/>
      <c r="AX112" s="282"/>
      <c r="BB112" s="282"/>
    </row>
    <row r="113" spans="1:60" ht="16" customHeight="1" thickBot="1" x14ac:dyDescent="0.25">
      <c r="A113" s="4"/>
      <c r="B113" s="302"/>
      <c r="C113" s="303"/>
      <c r="D113" s="303"/>
      <c r="E113" s="303"/>
      <c r="F113" s="303"/>
      <c r="G113" s="303"/>
      <c r="H113" s="303"/>
      <c r="I113" s="303"/>
      <c r="J113" s="304"/>
      <c r="K113" s="246">
        <f>SUM(K108:K112)</f>
        <v>0</v>
      </c>
      <c r="L113" s="246">
        <f>SUM(L108:L112)</f>
        <v>0</v>
      </c>
      <c r="M113" s="305"/>
      <c r="N113" s="296"/>
      <c r="O113" s="339">
        <f>SUM(O108:O112)</f>
        <v>0</v>
      </c>
      <c r="P113" s="339">
        <f>SUM(P108:P112)</f>
        <v>0</v>
      </c>
      <c r="Q113" s="339">
        <f>SUM(Q108:Q112)</f>
        <v>0</v>
      </c>
      <c r="R113" s="4"/>
      <c r="T113" s="289">
        <f>SUM(C113:G113)</f>
        <v>0</v>
      </c>
      <c r="U113" s="306"/>
      <c r="V113" s="306">
        <f t="shared" ref="V113:W113" si="56">SUM(V108:V112)</f>
        <v>0</v>
      </c>
      <c r="W113" s="306">
        <f t="shared" si="56"/>
        <v>0</v>
      </c>
      <c r="Y113">
        <f>AA108</f>
        <v>0</v>
      </c>
      <c r="Z113">
        <f>IF(L113&gt;0,MAX(1,ROUNDUP(Y113/22,0)),0)</f>
        <v>0</v>
      </c>
      <c r="AC113" s="306">
        <f t="shared" ref="AC113" si="57">SUM(AC108:AC112)</f>
        <v>0</v>
      </c>
      <c r="AD113" s="306">
        <f t="shared" ref="AD113" si="58">SUM(AD108:AD112)</f>
        <v>0</v>
      </c>
      <c r="AE113" s="306">
        <f>SUM(AE108:AE112)</f>
        <v>0</v>
      </c>
      <c r="AF113" s="306">
        <f>SUM(AF108:AF112)</f>
        <v>0</v>
      </c>
      <c r="AG113" s="306">
        <f>SUM(AG108:AG112)</f>
        <v>0</v>
      </c>
      <c r="AH113" s="307">
        <f>$AC113*INDEX(BW_ELE_1_8H,1)</f>
        <v>0</v>
      </c>
      <c r="AI113" s="306">
        <f>$AC113*INDEX(BW_ELE_1_8H,2)</f>
        <v>0</v>
      </c>
      <c r="AJ113" s="306">
        <f>$AC113*INDEX(BW_ELE_1_8H,3)</f>
        <v>0</v>
      </c>
      <c r="AK113" s="306">
        <f>$AC113*INDEX(BW_ELE_1_8H,4)</f>
        <v>0</v>
      </c>
      <c r="AL113" s="307">
        <f>$AD113*INDEX(BW_ELE_9_11H,1)</f>
        <v>0</v>
      </c>
      <c r="AM113" s="306">
        <f>$AD113*INDEX(BW_ELE_9_11H,2)</f>
        <v>0</v>
      </c>
      <c r="AN113" s="306">
        <f>$AD113*INDEX(BW_ELE_9_11H,3)</f>
        <v>0</v>
      </c>
      <c r="AO113" s="306">
        <f>$AD113*INDEX(BW_ELE_9_11H,4)</f>
        <v>0</v>
      </c>
      <c r="AP113" s="307">
        <f>$AE113*INDEX(BW_ENSEIGN,1)</f>
        <v>0</v>
      </c>
      <c r="AQ113" s="307">
        <f>$AE113*INDEX(BW_ENSEIGN,2)</f>
        <v>0</v>
      </c>
      <c r="AR113" s="307">
        <f>$AE113*INDEX(BW_ENSEIGN,3)</f>
        <v>0</v>
      </c>
      <c r="AS113" s="307">
        <f>$AE113*INDEX(BW_ENSEIGN,4)</f>
        <v>0</v>
      </c>
      <c r="AT113" s="307">
        <f>$AF113*INDEX(BW_SALLE_INFO,1)</f>
        <v>0</v>
      </c>
      <c r="AU113" s="306">
        <f>$AF113*INDEX(BW_SALLE_INFO,2)</f>
        <v>0</v>
      </c>
      <c r="AV113" s="306">
        <f>$AF113*INDEX(BW_SALLE_INFO,3)</f>
        <v>0</v>
      </c>
      <c r="AW113" s="306">
        <f>$AF113*INDEX(BW_SALLE_INFO,4)</f>
        <v>0</v>
      </c>
      <c r="AX113" s="307">
        <f>$AG113*INDEX(BW_AUTRES,1)</f>
        <v>0</v>
      </c>
      <c r="AY113" s="306">
        <f>$AG113*INDEX(BW_AUTRES,2)</f>
        <v>0</v>
      </c>
      <c r="AZ113" s="306">
        <f>$AG113*INDEX(BW_AUTRES,3)</f>
        <v>0</v>
      </c>
      <c r="BA113" s="306">
        <f>$AG113*INDEX(BW_AUTRES,4)</f>
        <v>0</v>
      </c>
      <c r="BB113" s="307">
        <f>AH113+AL113+AP113+AT113+AX113</f>
        <v>0</v>
      </c>
      <c r="BC113" s="308">
        <f>AJ113+AN113+AR113+AV113+AZ113</f>
        <v>0</v>
      </c>
      <c r="BD113" s="307">
        <f t="shared" ref="BD113" si="59">AI113+AM113+AQ113+AU113+AY113</f>
        <v>0</v>
      </c>
      <c r="BE113" s="308">
        <f>AK113+AO113+AS113+AW113+BA113</f>
        <v>0</v>
      </c>
      <c r="BF113" s="306">
        <f>IF(SUM($AC113:$AG113)&gt;0,BB113/SUM($AC113:$AG113),0)</f>
        <v>0</v>
      </c>
      <c r="BG113" s="306">
        <f>IF(SUM($AC113:$AG113)&gt;0,BD113/SUM($AC113:$AG113),0)</f>
        <v>0</v>
      </c>
    </row>
    <row r="114" spans="1:60" ht="17" thickBot="1" x14ac:dyDescent="0.25">
      <c r="A114" s="4"/>
      <c r="B114" s="383" t="s">
        <v>120</v>
      </c>
      <c r="C114" s="384"/>
      <c r="D114" s="384"/>
      <c r="E114" s="384"/>
      <c r="F114" s="384"/>
      <c r="G114" s="385"/>
      <c r="H114" s="296"/>
      <c r="I114" s="119" t="s">
        <v>67</v>
      </c>
      <c r="J114" s="296"/>
      <c r="K114" s="296"/>
      <c r="L114" s="296"/>
      <c r="M114" s="296"/>
      <c r="N114" s="296"/>
      <c r="O114" s="296"/>
      <c r="P114" s="296"/>
      <c r="Q114" s="296"/>
      <c r="R114" s="4"/>
      <c r="T114" s="289"/>
      <c r="Y114" s="306"/>
      <c r="Z114" s="306">
        <f>SUM(Z108:Z113)</f>
        <v>0</v>
      </c>
      <c r="AA114" s="306"/>
    </row>
    <row r="115" spans="1:60" ht="16" customHeight="1" x14ac:dyDescent="0.2">
      <c r="A115" s="4"/>
      <c r="B115" s="396" t="s">
        <v>132</v>
      </c>
      <c r="C115" s="397"/>
      <c r="D115" s="398"/>
      <c r="E115" s="334" t="str">
        <f>IF(AM102&gt;0,AM102,"&gt; bât. "&amp;AC104)</f>
        <v>&gt; bât. 1</v>
      </c>
      <c r="F115" s="399" t="s">
        <v>122</v>
      </c>
      <c r="G115" s="400"/>
      <c r="H115" s="296"/>
      <c r="I115" s="388" t="s">
        <v>123</v>
      </c>
      <c r="J115" s="389"/>
      <c r="K115" s="390"/>
      <c r="L115" s="335">
        <f>Z114</f>
        <v>0</v>
      </c>
      <c r="M115" s="296"/>
      <c r="N115" s="4"/>
      <c r="O115" s="4"/>
      <c r="P115" s="4"/>
      <c r="Q115" s="4"/>
      <c r="R115" s="4"/>
      <c r="T115" s="289"/>
      <c r="Z115">
        <f>COUNTIF(Z108:Z113,"&gt;0")</f>
        <v>0</v>
      </c>
    </row>
    <row r="116" spans="1:60" ht="16" customHeight="1" x14ac:dyDescent="0.2">
      <c r="A116" s="4"/>
      <c r="B116" s="401" t="s">
        <v>124</v>
      </c>
      <c r="C116" s="402"/>
      <c r="D116" s="403"/>
      <c r="E116" s="336" t="str">
        <f>IF(AM104&gt;0,AM104,"&gt; bât. "&amp;AC104)</f>
        <v>&gt; bât. 1</v>
      </c>
      <c r="F116" s="404" t="str">
        <f>IF(AG102&gt;0,"1 ","") &amp; IF(AH102&gt;0,"2 ","") &amp; IF(AI102&gt;0,"3 ","") &amp; IF(AJ102&gt;0,"4 ","") &amp; IF(AK102&gt;0,"5","")</f>
        <v/>
      </c>
      <c r="G116" s="405"/>
      <c r="H116" s="296"/>
      <c r="I116" s="391" t="s">
        <v>125</v>
      </c>
      <c r="J116" s="392"/>
      <c r="K116" s="393"/>
      <c r="L116" s="337">
        <f>Z115</f>
        <v>0</v>
      </c>
      <c r="M116" s="296"/>
      <c r="N116" s="4"/>
      <c r="O116" s="4"/>
      <c r="P116" s="4"/>
      <c r="Q116" s="4"/>
      <c r="R116" s="4"/>
      <c r="T116" s="289"/>
    </row>
    <row r="117" spans="1:60" x14ac:dyDescent="0.2">
      <c r="A117" s="4"/>
      <c r="B117" s="4"/>
      <c r="C117" s="4"/>
      <c r="D117" s="4"/>
      <c r="E117" s="4"/>
      <c r="F117" s="4"/>
      <c r="G117" s="4"/>
      <c r="H117" s="4"/>
      <c r="I117" s="4"/>
      <c r="J117" s="4"/>
      <c r="K117" s="4"/>
      <c r="L117" s="4"/>
      <c r="M117" s="4"/>
      <c r="N117" s="4"/>
      <c r="O117" s="4"/>
      <c r="P117" s="4"/>
      <c r="Q117" s="4"/>
      <c r="R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row>
    <row r="118" spans="1:60" ht="33" customHeight="1" x14ac:dyDescent="0.2">
      <c r="A118" s="4"/>
      <c r="B118" s="4"/>
      <c r="C118" s="4"/>
      <c r="D118" s="4"/>
      <c r="E118" s="4"/>
      <c r="F118" s="4"/>
      <c r="G118" s="4"/>
      <c r="H118" s="4"/>
      <c r="I118" s="4"/>
      <c r="J118" s="4"/>
      <c r="K118" s="4"/>
      <c r="L118" s="4"/>
      <c r="M118" s="4"/>
      <c r="N118" s="4"/>
      <c r="O118" s="4"/>
      <c r="P118" s="4"/>
      <c r="Q118" s="4"/>
      <c r="R118" s="4"/>
      <c r="U118" s="277" t="s">
        <v>70</v>
      </c>
      <c r="AF118" s="312"/>
      <c r="AG118" s="313" t="s">
        <v>135</v>
      </c>
      <c r="AH118" s="313" t="s">
        <v>136</v>
      </c>
      <c r="AI118" s="313" t="s">
        <v>137</v>
      </c>
      <c r="AJ118" s="314" t="s">
        <v>138</v>
      </c>
    </row>
    <row r="119" spans="1:60" ht="33" thickBot="1" x14ac:dyDescent="0.25">
      <c r="U119" s="291"/>
      <c r="V119" s="291" t="s">
        <v>139</v>
      </c>
      <c r="W119" s="291" t="s">
        <v>140</v>
      </c>
      <c r="Y119" s="291" t="s">
        <v>141</v>
      </c>
      <c r="Z119" s="291" t="s">
        <v>142</v>
      </c>
      <c r="AA119" s="291" t="s">
        <v>143</v>
      </c>
      <c r="AB119" s="291" t="s">
        <v>144</v>
      </c>
      <c r="AF119" s="315" t="s">
        <v>145</v>
      </c>
      <c r="AG119" s="316">
        <f>SUM(C40:G44,H40:H44)</f>
        <v>0</v>
      </c>
      <c r="AH119" s="317">
        <f>COUNTIF(L40:L44,"&gt;0")</f>
        <v>0</v>
      </c>
      <c r="AI119" s="318" t="str">
        <f>IF(AM34&gt;0,"Oui","Non")</f>
        <v>Non</v>
      </c>
      <c r="AJ119" s="319"/>
    </row>
    <row r="120" spans="1:60" ht="16" thickBot="1" x14ac:dyDescent="0.25">
      <c r="U120" s="320" t="s">
        <v>146</v>
      </c>
      <c r="V120" s="321">
        <f>V45+V62+V79+V96+V113</f>
        <v>0</v>
      </c>
      <c r="W120" s="321">
        <f>W45+W62+W79+W96+W113</f>
        <v>0</v>
      </c>
      <c r="Y120" s="306">
        <f>L45+L62+L79+L96+L113</f>
        <v>0</v>
      </c>
      <c r="Z120" s="306">
        <f>Z46+Z63+Z80+Z97+Z114</f>
        <v>0</v>
      </c>
      <c r="AA120" s="306">
        <f>Z47+Z64+Z81+Z98+Z115</f>
        <v>0</v>
      </c>
      <c r="AB120" s="306">
        <f>K45+K62+K79+K96+K113</f>
        <v>0</v>
      </c>
      <c r="AF120" s="315" t="s">
        <v>147</v>
      </c>
      <c r="AG120" s="316">
        <f>SUM(C57:G61,H57:H61)</f>
        <v>0</v>
      </c>
      <c r="AH120" s="317">
        <f>COUNTIF(L57:L61,"&gt;0")</f>
        <v>0</v>
      </c>
      <c r="AI120" s="318" t="str">
        <f>IF(AM51&gt;0,"Oui","Non")</f>
        <v>Non</v>
      </c>
      <c r="AJ120" s="319"/>
    </row>
    <row r="121" spans="1:60" x14ac:dyDescent="0.2">
      <c r="U121" s="298">
        <f>O45+O62+O79+O96+O113</f>
        <v>0</v>
      </c>
      <c r="V121" s="298">
        <f>Q45+Q62+Q79+Q96+Q113</f>
        <v>0</v>
      </c>
      <c r="W121" s="298">
        <f>P45+P62+P79+P96+P113</f>
        <v>0</v>
      </c>
      <c r="AF121" s="315" t="s">
        <v>148</v>
      </c>
      <c r="AG121" s="316">
        <f>SUM(C74:G78,H74:H78)</f>
        <v>0</v>
      </c>
      <c r="AH121" s="317">
        <f>COUNTIF(L74:L78,"&gt;0")</f>
        <v>0</v>
      </c>
      <c r="AI121" s="318" t="str">
        <f>IF(AM68&gt;0,"Oui","Non")</f>
        <v>Non</v>
      </c>
      <c r="AJ121" s="319"/>
    </row>
    <row r="122" spans="1:60" x14ac:dyDescent="0.2">
      <c r="AF122" s="315" t="s">
        <v>149</v>
      </c>
      <c r="AG122" s="316">
        <f>SUM(C91:G95,H91:H95)</f>
        <v>0</v>
      </c>
      <c r="AH122" s="317">
        <f>COUNTIF(L91:L95,"&gt;0")</f>
        <v>0</v>
      </c>
      <c r="AI122" s="318" t="str">
        <f>IF(AM85&gt;0,"Oui","Non")</f>
        <v>Non</v>
      </c>
      <c r="AJ122" s="319"/>
    </row>
    <row r="123" spans="1:60" x14ac:dyDescent="0.2">
      <c r="AF123" s="322" t="s">
        <v>150</v>
      </c>
      <c r="AG123" s="323">
        <f>SUM(C108:G112,H108:H112)</f>
        <v>0</v>
      </c>
      <c r="AH123" s="324">
        <f>COUNTIF(L108:L112,"&gt;0")</f>
        <v>0</v>
      </c>
      <c r="AI123" s="325" t="str">
        <f>IF(AM102&gt;0,"Oui","Non")</f>
        <v>Non</v>
      </c>
      <c r="AJ123" s="326"/>
    </row>
    <row r="124" spans="1:60" ht="16" thickBot="1" x14ac:dyDescent="0.25">
      <c r="AF124" s="327" t="s">
        <v>51</v>
      </c>
      <c r="AG124" s="328">
        <f>SUM(AG119:AG123)</f>
        <v>0</v>
      </c>
      <c r="AH124" s="329">
        <f>SUM(AH119:AH123)</f>
        <v>0</v>
      </c>
      <c r="AI124" s="330">
        <f>COUNTIF(AI119:AI123,"oui")</f>
        <v>0</v>
      </c>
      <c r="AJ124" s="331">
        <f>COUNTIF(AH119:AH123,"&gt;0")</f>
        <v>0</v>
      </c>
    </row>
  </sheetData>
  <sheetProtection algorithmName="SHA-512" hashValue="Z3cP1SNsHC5K65RwXc/uCpSfirCnjLWSkcXkkh8fWt9Mj/ScTdsMS6ErpbQsDzySN3tO7dUffxo48XZoXcUNfg==" saltValue="smO1stUotJ09gOpeuwxSnw==" spinCount="100000" sheet="1" objects="1" scenarios="1"/>
  <customSheetViews>
    <customSheetView guid="{2F7F83DD-5603-CE40-9872-ABF624ECE237}" scale="90" topLeftCell="A2">
      <selection activeCell="L31" sqref="L31"/>
      <pageMargins left="0" right="0" top="0" bottom="0" header="0" footer="0"/>
      <pageSetup paperSize="9" orientation="portrait" verticalDpi="0" r:id="rId1"/>
    </customSheetView>
    <customSheetView guid="{D932F249-B54E-D54C-B8F4-0256603E93D7}" scale="90" topLeftCell="A2">
      <selection activeCell="L31" sqref="L31"/>
      <pageMargins left="0" right="0" top="0" bottom="0" header="0" footer="0"/>
      <pageSetup paperSize="9" orientation="portrait" verticalDpi="0" r:id="rId2"/>
    </customSheetView>
  </customSheetViews>
  <mergeCells count="102">
    <mergeCell ref="B116:D116"/>
    <mergeCell ref="F116:G116"/>
    <mergeCell ref="B2:H2"/>
    <mergeCell ref="C4:H4"/>
    <mergeCell ref="F47:G47"/>
    <mergeCell ref="F48:G48"/>
    <mergeCell ref="B47:D47"/>
    <mergeCell ref="B48:D48"/>
    <mergeCell ref="B46:G46"/>
    <mergeCell ref="B63:G63"/>
    <mergeCell ref="B64:D64"/>
    <mergeCell ref="F64:G64"/>
    <mergeCell ref="B65:D65"/>
    <mergeCell ref="F65:G65"/>
    <mergeCell ref="C14:C15"/>
    <mergeCell ref="F16:F17"/>
    <mergeCell ref="G16:G17"/>
    <mergeCell ref="B13:B15"/>
    <mergeCell ref="D14:D15"/>
    <mergeCell ref="E14:E15"/>
    <mergeCell ref="E69:F69"/>
    <mergeCell ref="E68:F68"/>
    <mergeCell ref="C55:G55"/>
    <mergeCell ref="G18:G19"/>
    <mergeCell ref="N38:Q38"/>
    <mergeCell ref="E35:F35"/>
    <mergeCell ref="C38:G38"/>
    <mergeCell ref="K38:L38"/>
    <mergeCell ref="K55:L55"/>
    <mergeCell ref="I47:K47"/>
    <mergeCell ref="I48:K48"/>
    <mergeCell ref="I64:K64"/>
    <mergeCell ref="I65:K65"/>
    <mergeCell ref="H55:H56"/>
    <mergeCell ref="I55:J55"/>
    <mergeCell ref="N55:Q55"/>
    <mergeCell ref="B28:Q28"/>
    <mergeCell ref="N17:N18"/>
    <mergeCell ref="O17:O18"/>
    <mergeCell ref="P17:P18"/>
    <mergeCell ref="Q17:Q18"/>
    <mergeCell ref="I116:K116"/>
    <mergeCell ref="B18:B19"/>
    <mergeCell ref="C18:C19"/>
    <mergeCell ref="D18:D19"/>
    <mergeCell ref="E18:E19"/>
    <mergeCell ref="F18:F19"/>
    <mergeCell ref="H89:H90"/>
    <mergeCell ref="I89:J89"/>
    <mergeCell ref="H106:H107"/>
    <mergeCell ref="I106:J106"/>
    <mergeCell ref="E51:F51"/>
    <mergeCell ref="E52:F52"/>
    <mergeCell ref="E53:F53"/>
    <mergeCell ref="I38:J38"/>
    <mergeCell ref="H38:H39"/>
    <mergeCell ref="E102:F102"/>
    <mergeCell ref="E103:F103"/>
    <mergeCell ref="E85:F85"/>
    <mergeCell ref="E86:F86"/>
    <mergeCell ref="E87:F87"/>
    <mergeCell ref="C89:G89"/>
    <mergeCell ref="E36:F36"/>
    <mergeCell ref="E34:F34"/>
    <mergeCell ref="E70:F70"/>
    <mergeCell ref="B81:D81"/>
    <mergeCell ref="F81:G81"/>
    <mergeCell ref="B82:D82"/>
    <mergeCell ref="F82:G82"/>
    <mergeCell ref="B97:G97"/>
    <mergeCell ref="B98:D98"/>
    <mergeCell ref="F98:G98"/>
    <mergeCell ref="B99:D99"/>
    <mergeCell ref="I115:K115"/>
    <mergeCell ref="F99:G99"/>
    <mergeCell ref="B114:G114"/>
    <mergeCell ref="B115:D115"/>
    <mergeCell ref="F115:G115"/>
    <mergeCell ref="N15:Q16"/>
    <mergeCell ref="B16:B17"/>
    <mergeCell ref="C16:C17"/>
    <mergeCell ref="D16:D17"/>
    <mergeCell ref="E16:E17"/>
    <mergeCell ref="H18:H19"/>
    <mergeCell ref="F14:F15"/>
    <mergeCell ref="G14:G15"/>
    <mergeCell ref="N106:Q106"/>
    <mergeCell ref="C72:G72"/>
    <mergeCell ref="N89:Q89"/>
    <mergeCell ref="N72:Q72"/>
    <mergeCell ref="E104:F104"/>
    <mergeCell ref="C106:G106"/>
    <mergeCell ref="I81:K81"/>
    <mergeCell ref="K89:L89"/>
    <mergeCell ref="K106:L106"/>
    <mergeCell ref="I98:K98"/>
    <mergeCell ref="I99:K99"/>
    <mergeCell ref="I82:K82"/>
    <mergeCell ref="K72:L72"/>
    <mergeCell ref="H72:H73"/>
    <mergeCell ref="I72:J72"/>
    <mergeCell ref="B80:G80"/>
  </mergeCells>
  <conditionalFormatting sqref="E36">
    <cfRule type="expression" dxfId="14" priority="50">
      <formula>OR(E35="oui",E35="ja")</formula>
    </cfRule>
  </conditionalFormatting>
  <conditionalFormatting sqref="E53">
    <cfRule type="expression" dxfId="13" priority="1">
      <formula>OR(E52="oui",E52="ja")</formula>
    </cfRule>
  </conditionalFormatting>
  <conditionalFormatting sqref="E70">
    <cfRule type="expression" dxfId="12" priority="37" stopIfTrue="1">
      <formula>OR(E69="oui",E69="ja")</formula>
    </cfRule>
  </conditionalFormatting>
  <conditionalFormatting sqref="E87">
    <cfRule type="expression" dxfId="11" priority="35" stopIfTrue="1">
      <formula>OR(E86="oui",E86="ja")</formula>
    </cfRule>
  </conditionalFormatting>
  <conditionalFormatting sqref="E104">
    <cfRule type="expression" dxfId="10" priority="33" stopIfTrue="1">
      <formula>OR(E103="oui",E103="ja")</formula>
    </cfRule>
  </conditionalFormatting>
  <conditionalFormatting sqref="E36:F36">
    <cfRule type="expression" dxfId="9" priority="52" stopIfTrue="1">
      <formula>$AE$36=1</formula>
    </cfRule>
  </conditionalFormatting>
  <conditionalFormatting sqref="E53:F53">
    <cfRule type="expression" dxfId="8" priority="2" stopIfTrue="1">
      <formula>$AE$36=1</formula>
    </cfRule>
  </conditionalFormatting>
  <conditionalFormatting sqref="E70:F70">
    <cfRule type="expression" dxfId="7" priority="38" stopIfTrue="1">
      <formula>$AE$36=1</formula>
    </cfRule>
  </conditionalFormatting>
  <conditionalFormatting sqref="E87:F87">
    <cfRule type="expression" dxfId="6" priority="36" stopIfTrue="1">
      <formula>$AE$36=1</formula>
    </cfRule>
  </conditionalFormatting>
  <conditionalFormatting sqref="E104:F104">
    <cfRule type="expression" dxfId="5" priority="34" stopIfTrue="1">
      <formula>$AE$36=1</formula>
    </cfRule>
  </conditionalFormatting>
  <conditionalFormatting sqref="F47:F48">
    <cfRule type="expression" dxfId="4" priority="53">
      <formula>$AM34=0</formula>
    </cfRule>
  </conditionalFormatting>
  <conditionalFormatting sqref="F64:F65">
    <cfRule type="expression" dxfId="3" priority="6">
      <formula>$AM51=0</formula>
    </cfRule>
  </conditionalFormatting>
  <conditionalFormatting sqref="F81:F82">
    <cfRule type="expression" dxfId="2" priority="5">
      <formula>$AM68=0</formula>
    </cfRule>
  </conditionalFormatting>
  <conditionalFormatting sqref="F98:F99">
    <cfRule type="expression" dxfId="1" priority="4">
      <formula>$AM85=0</formula>
    </cfRule>
  </conditionalFormatting>
  <conditionalFormatting sqref="F115:F116">
    <cfRule type="expression" dxfId="0" priority="3">
      <formula>$AM102=0</formula>
    </cfRule>
  </conditionalFormatting>
  <dataValidations count="27">
    <dataValidation type="list" allowBlank="1" showInputMessage="1" showErrorMessage="1" sqref="E103 E52 E69 E86" xr:uid="{319926EF-9F48-0442-8B4D-F1364BBA7BD2}">
      <formula1>"oui,non"</formula1>
    </dataValidation>
    <dataValidation type="list" allowBlank="1" showInputMessage="1" showErrorMessage="1" sqref="E36 E104 E70 E87 E53" xr:uid="{698AFA76-D0F6-2E40-A605-9E3A8CB0DAF0}">
      <formula1>Intro_Internet</formula1>
    </dataValidation>
    <dataValidation operator="greaterThanOrEqual" showInputMessage="1" showErrorMessage="1" error="Erreur; le nombre de salles ou de bâtiments ou d'étages existants ne peut dépasser le nombre total" sqref="H3 H5 H23:H24 T23:T24 I6:Q6 T5:T6 I23:M23" xr:uid="{D86C167D-B1EF-7B44-A1F6-C1324251CFF7}"/>
    <dataValidation type="list" allowBlank="1" showInputMessage="1" showErrorMessage="1" sqref="N40:N44 N57:N61 N74:N78 N91:N95 N108:N112" xr:uid="{AF597F3B-2E7A-B741-B9FB-93165B5FB757}">
      <formula1>Lst_Syst_Rang</formula1>
    </dataValidation>
    <dataValidation type="whole" allowBlank="1" showInputMessage="1" showErrorMessage="1" sqref="O40:Q44 O57:Q61 O74:Q78 O91:Q95 O108:Q112" xr:uid="{4B895BB8-F94B-0C48-9CEB-8492976C6E65}">
      <formula1>0</formula1>
      <formula2>50</formula2>
    </dataValidation>
    <dataValidation type="list" allowBlank="1" showInputMessage="1" showErrorMessage="1" promptTitle="Comment ce bâtiment est raccordé" prompt="Oui : si la ligne internet entre directement dans ce bâtiment_x000a_Non : si ce bâtiment est relié à internet par l'intermédiaire d'un autre bâtiment." sqref="E35:F35" xr:uid="{C92DCF9C-AE1F-C245-992D-56223D631BFB}">
      <formula1>"oui,non"</formula1>
    </dataValidation>
    <dataValidation allowBlank="1" showInputMessage="1" showErrorMessage="1" promptTitle="Nom indicatif" sqref="E34:F34" xr:uid="{3EA64E0E-93B1-D642-8B0A-D6298EE47D76}"/>
    <dataValidation allowBlank="1" showInputMessage="1" showErrorMessage="1" promptTitle="Valeur déterminante" prompt="La valeur déterminante correspond au choix de l'école, avec comme valeur minimale la norme minimale." sqref="H22" xr:uid="{943E611E-1A99-4038-BA4F-9F6509E796DE}"/>
    <dataValidation allowBlank="1" showInputMessage="1" showErrorMessage="1" prompt="Les normes maximales sont garantes de durabilité. Les établissements scolaires ne devront pas dépasser les normes maximales (sauf exceptions liées aux plans d’études et aux moyens d’enseignement)." sqref="H20" xr:uid="{E5EF1A66-7D52-4837-9D39-D2D377C014B1}"/>
    <dataValidation allowBlank="1" showInputMessage="1" showErrorMessage="1" promptTitle="Points d'accès WiFi" prompt="1x par salle de classe et spéciale_x000a_+ 1x pour postes et places WiFi (p.ex. salle des maîtres, bureau...)" sqref="K39:K45 K73:K79 K90:K96 K56:K62 K107:K113" xr:uid="{4500AE3C-9573-534D-8597-29E0830FC955}"/>
    <dataValidation allowBlank="1" showInputMessage="1" showErrorMessage="1" promptTitle="Estimation du nombre de switches" prompt="basée sur un modèle unique à 24 ports (taille intermédiaire) par simplification. _x000a_Un switch 24 ports peut desservir un ou plusieurs étages supérieurs, si le nombre de connexions sur ceux-ci ne justifie pas un switch dédié. _x000a_Il existe des modèles à 12 et à" sqref="I47 I64 I81 I98 I115" xr:uid="{3382B421-923A-2C42-9AF4-F0EEC194AEA9}"/>
    <dataValidation allowBlank="1" showInputMessage="1" showErrorMessage="1" promptTitle="Salles spéciales" prompt="Toutes les salles d'enseignement spéciales (musique, sciences...) et les salles d'enseignement de réserve, nécessitant une infrastructure informatique de classe (système de projection, de son...)" sqref="H89 H108:H113 H91:H96 H57:H62 H72 H38 H55 H106 H40:H45 H74:H79" xr:uid="{8CC341D4-17C8-164F-90D4-CA3004EB9CEC}"/>
    <dataValidation allowBlank="1" showInputMessage="1" showErrorMessage="1" promptTitle="Nombre de classes d'élèves" prompt="Nombre de classes avec des élèves de 3H et/ou 4H" sqref="D10" xr:uid="{3FAD9444-78B0-408A-89B9-4B072379CAA9}"/>
    <dataValidation allowBlank="1" showInputMessage="1" showErrorMessage="1" promptTitle="Autres appareils câblés" prompt="HORS SALLES DE CLASSE_x000a_Places de travail fixes ayant besoin d'une connexion câblée au réseau. Ne pas compter les appareils qui se connecteront via wifi. _x000a_Ex: photocopieurs, salle informatique, des maîtres, psychologues, administration, bibliothèque,..." sqref="I39:I44 I56:I61 I90:I95 I107:I112 I73:I78" xr:uid="{A18332AD-4C47-48E5-98C1-9F0B1BC2D7AB}"/>
    <dataValidation allowBlank="1" showInputMessage="1" showErrorMessage="1" promptTitle="Autres postes seulement WIFI" prompt="HORS SALLES DE CLASSE_x000a_Places de travail fixes ayant besoin d'une connexion internet mais pour lesquelles un accès wifi suffit : pas besoin de connexion câblée au réseau _x000a_Ex : salle de sport, des maîtres, psychologues, administration, bibliothèque,... " sqref="J39:J44 J56:J61 J90:J95 J107:J112 J73:J78" xr:uid="{6387C050-CC23-415C-9A28-D8823478BFE1}"/>
    <dataValidation allowBlank="1" showInputMessage="1" showErrorMessage="1" promptTitle="Nombre de classes d'élèves" prompt="Nombre de classes avec des élèves de 1H et/ou 2H" sqref="C10" xr:uid="{5272DF59-BCCC-426F-A802-EAFBD78E915D}"/>
    <dataValidation allowBlank="1" showInputMessage="1" showErrorMessage="1" promptTitle="Salles de classe ordinaires" prompt="Cas spécial des classes à niveaux multiples : attribuer 1 au degré scolaire le plus élevé - Permet une estimation plus réaliste des besoins internet._x000a_Exemple d'une salle de classe qui a des élèves de 4H et de 5H : compter 1 dans la colonne 5-6H" sqref="C106:G107 C89:G90 C91:H95 C108:H112 C40:H44 C38:G39 C55:G56 C72:G73 C74:H78 G57:H61" xr:uid="{3144085A-0371-444E-8B5D-BB1F71F01F3C}"/>
    <dataValidation allowBlank="1" showInputMessage="1" showErrorMessage="1" promptTitle="Connexion hors salles de classe" prompt="Ventiler le nombre de postes de travail et d'appareils (ex photocopieurs) qui nécessiteront un accès internet, en dehors des salles d'enseignement._x000a_Par ex, salles de sport, aulas, bureau de psychologie ou de Direction, bibliothèque, salle informatique,..." sqref="I38:J38 I89:J89 I55:J55 I72:J72 I106:J106" xr:uid="{5FBDCB21-D703-43D6-9D4A-F199E1890FFC}"/>
    <dataValidation allowBlank="1" showInputMessage="1" showErrorMessage="1" promptTitle="Estimation du nombre de switches" prompt="basée sur un modèle unique intermédiaire à 24 ports par simplification. _x000a_Un switch peut desservir plusieurs étages supérieurs, si leur nombre de connexions ne justifie pas un switch dédié. _x000a_Autres dispositions selon les conditions locales." sqref="T47 L47 T64 L98 T81 L64 T98 L81 T115 L115" xr:uid="{BA6802C1-A47F-764B-8761-BEA878243637}"/>
    <dataValidation allowBlank="1" showInputMessage="1" showErrorMessage="1" promptTitle="Connexion réseau" prompt="Prises réseau, câbles et connexion sur Switches :_x000a_3x par salle de classe et spéciale, _x000a_+ 1x par place et appareil câblé, _x000a_+ 1x pour places et postes WiFi " sqref="L73:M79 T107:T113 L90:M96 T56:T62 T90:T96 T39:T45 L39:M45 T73:T79 L56:M62 L107:M113" xr:uid="{65AFD48D-BF6E-F847-85F0-6BAC068BA24D}"/>
    <dataValidation allowBlank="1" showInputMessage="1" showErrorMessage="1" prompt="Dotations minimales recommandées à atteindre pour les équipements des élèves en milieu ordinaire pour répondre aux objectifs pédagogiques des plans d'études" sqref="B16:G17" xr:uid="{8E6DE85E-FFB2-40CA-BA8E-31BA127E4188}"/>
    <dataValidation allowBlank="1" showInputMessage="1" showErrorMessage="1" promptTitle="Normale Klassenzimmer" prompt="Sonderfall mehrstufiger Klassen: 1 für die höchste Schulstufe - Ermöglicht eine realistischere Einschätzung des Internetbedarfs._x000a_Beispiel für ein Klassenzimmer mit Schülern der Klassen 4H und 5H: Zählen Sie 1 in der Spalte 5-6H." sqref="C57:F61" xr:uid="{F0614ACC-8B70-764F-A135-B4FB7B0A3F78}"/>
    <dataValidation allowBlank="1" showInputMessage="1" showErrorMessage="1" prompt="Les dotations maximales recommandées sont garantes de durabilité. Les établissements scolaires ne devraient pas dépasser les normes maximales, sauf exceptions liées aux plans d’études et aux moyens d’enseignement." sqref="B20:G20" xr:uid="{CDCA6B4D-50B2-41FD-8D58-E9B0F78665D6}"/>
    <dataValidation allowBlank="1" showInputMessage="1" showErrorMessage="1" promptTitle="A choix" prompt="Normes selon réflexion et projet pédagogique de l'école. _x000a_Elles ne devraient pas être inférieures aux dotations minimales, garantes d'égalité des chances._x000a_Elles ne devraient pas être supérieures aux dotations maximales, garantes de durabilité." sqref="B21" xr:uid="{143D6ACD-FF72-47AD-B39A-E69977C27498}"/>
    <dataValidation allowBlank="1" showInputMessage="1" showErrorMessage="1" promptTitle="Valeur déterminante" prompt="La valeur déterminante correspond au choix de l'école, avec comme valeur par défaut la dotation minimale recommandée." sqref="B22:G22" xr:uid="{2F079007-8B1E-4EEE-8FD4-6DC993B57C4B}"/>
    <dataValidation type="whole" operator="greaterThanOrEqual" allowBlank="1" showInputMessage="1" showErrorMessage="1" promptTitle="A choix" prompt="Normes selon réflexion et projet pédagogique de l'école. _x000a_Elles ne devraient pas être inférieures aux dotations minimales, garantes d'égalité des chances._x000a_Elles ne devraient pas être supérieures aux dotations maximales, garantes de durabilité." sqref="C21:D21" xr:uid="{7CA71756-DC5A-BB4B-942A-D3A07D75CFA2}">
      <formula1>0</formula1>
    </dataValidation>
    <dataValidation type="whole" operator="greaterThan" allowBlank="1" showInputMessage="1" showErrorMessage="1" promptTitle="A choix" prompt="Normes selon réflexion et projet pédagogique de l'école. _x000a_Elles ne devraient pas être inférieures aux dotations minimales, garantes d'égalité des chances._x000a_Elles ne devraient pas être supérieures aux dotations maximales, garantes de durabilité." sqref="E21:G21" xr:uid="{97EDDEEE-949D-354F-8063-A958A58ADC42}">
      <formula1>0</formula1>
    </dataValidation>
  </dataValidations>
  <printOptions horizontalCentered="1"/>
  <pageMargins left="0.25" right="0.25" top="1" bottom="0.75" header="0.55000000000000004" footer="0.3"/>
  <pageSetup paperSize="9" scale="69" fitToHeight="0" orientation="landscape" verticalDpi="0" r:id="rId3"/>
  <headerFooter scaleWithDoc="0">
    <oddHeader>&amp;C&amp;F</oddHeader>
    <oddFooter>&amp;L&amp;"Calibri,Normal"&amp;K000000Version 1.2 / Centre de compétences Fritic &amp;C&amp;"Calibri,Normal"&amp;K000000&amp;A&amp;R&amp;"Calibri,Normal"&amp;K000000Imprimé le &amp;D</oddFooter>
  </headerFooter>
  <rowBreaks count="3" manualBreakCount="3">
    <brk id="32" max="17" man="1"/>
    <brk id="66" max="17" man="1"/>
    <brk id="100" max="17" man="1"/>
  </rowBreaks>
  <drawing r:id="rId4"/>
  <legacyDrawing r:id="rId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C62C1-9FFA-4F37-8A3F-61E821BC932B}">
  <sheetPr>
    <pageSetUpPr autoPageBreaks="0" fitToPage="1"/>
  </sheetPr>
  <dimension ref="A1:AY100"/>
  <sheetViews>
    <sheetView showGridLines="0" showRowColHeaders="0" zoomScale="92" zoomScaleNormal="100" workbookViewId="0">
      <selection activeCell="D11" sqref="D11"/>
    </sheetView>
  </sheetViews>
  <sheetFormatPr baseColWidth="10" defaultColWidth="11.5" defaultRowHeight="15" x14ac:dyDescent="0.2"/>
  <cols>
    <col min="1" max="1" width="5.5" customWidth="1"/>
    <col min="2" max="2" width="65.83203125" customWidth="1"/>
    <col min="3" max="3" width="13.1640625" style="193" customWidth="1"/>
    <col min="4" max="4" width="13.5" style="193" customWidth="1"/>
    <col min="5" max="8" width="13.5" customWidth="1"/>
    <col min="9" max="9" width="13.5" style="17" customWidth="1"/>
    <col min="10" max="10" width="13.5" customWidth="1"/>
    <col min="11" max="11" width="6" customWidth="1"/>
    <col min="12" max="16" width="13.83203125" customWidth="1"/>
    <col min="17" max="18" width="15.5" customWidth="1"/>
    <col min="19" max="39" width="11.5" customWidth="1"/>
    <col min="40" max="40" width="9.5" customWidth="1"/>
    <col min="41" max="41" width="24.5" customWidth="1"/>
    <col min="42" max="42" width="16.5" customWidth="1"/>
    <col min="43" max="47" width="13.83203125" customWidth="1"/>
    <col min="48" max="49" width="15.5" customWidth="1"/>
    <col min="50" max="50" width="13.83203125" bestFit="1" customWidth="1"/>
  </cols>
  <sheetData>
    <row r="1" spans="1:11" ht="66" customHeight="1" x14ac:dyDescent="0.2">
      <c r="A1" s="8"/>
      <c r="B1" s="8"/>
      <c r="C1" s="9"/>
      <c r="D1" s="9"/>
      <c r="E1" s="8"/>
      <c r="F1" s="8"/>
      <c r="G1" s="8"/>
      <c r="H1" s="8"/>
      <c r="I1" s="8"/>
      <c r="J1" s="8"/>
      <c r="K1" s="8"/>
    </row>
    <row r="2" spans="1:11" s="7" customFormat="1" ht="57" customHeight="1" x14ac:dyDescent="0.2">
      <c r="A2" s="6"/>
      <c r="B2" s="344" t="s">
        <v>151</v>
      </c>
      <c r="C2" s="103"/>
      <c r="D2" s="104"/>
      <c r="E2" s="6"/>
      <c r="F2" s="6"/>
      <c r="G2" s="6"/>
      <c r="H2" s="6"/>
      <c r="I2" s="6"/>
      <c r="J2" s="6"/>
      <c r="K2" s="6"/>
    </row>
    <row r="3" spans="1:11" s="7" customFormat="1" ht="17.25" customHeight="1" x14ac:dyDescent="0.2">
      <c r="A3" s="4"/>
      <c r="B3" s="4"/>
      <c r="C3" s="4"/>
      <c r="D3" s="4"/>
      <c r="E3" s="4"/>
      <c r="F3" s="4"/>
      <c r="G3" s="105"/>
      <c r="H3" s="105"/>
      <c r="I3" s="105"/>
      <c r="J3" s="105"/>
      <c r="K3" s="4"/>
    </row>
    <row r="4" spans="1:11" x14ac:dyDescent="0.2">
      <c r="A4" s="4"/>
      <c r="B4" s="443" t="s">
        <v>152</v>
      </c>
      <c r="C4" s="444"/>
      <c r="D4" s="444"/>
      <c r="E4" s="444"/>
      <c r="F4" s="4"/>
      <c r="G4" s="106"/>
      <c r="H4" s="4"/>
      <c r="I4" s="106"/>
      <c r="J4" s="106"/>
      <c r="K4" s="4"/>
    </row>
    <row r="5" spans="1:11" x14ac:dyDescent="0.2">
      <c r="A5" s="4"/>
      <c r="B5" s="4"/>
      <c r="C5" s="4"/>
      <c r="D5" s="4"/>
      <c r="E5" s="107"/>
      <c r="F5" s="107"/>
      <c r="G5" s="4"/>
      <c r="H5" s="4"/>
      <c r="I5" s="108"/>
      <c r="J5" s="4"/>
      <c r="K5" s="4"/>
    </row>
    <row r="6" spans="1:11" ht="16" customHeight="1" x14ac:dyDescent="0.2">
      <c r="A6" s="108"/>
      <c r="B6" s="4"/>
      <c r="C6" s="448" t="s">
        <v>153</v>
      </c>
      <c r="D6" s="449"/>
      <c r="E6" s="449"/>
      <c r="F6" s="222">
        <f>Nb_Tot_Bat</f>
        <v>0</v>
      </c>
      <c r="G6" s="4"/>
      <c r="H6" s="448" t="s">
        <v>154</v>
      </c>
      <c r="I6" s="449"/>
      <c r="J6" s="219">
        <f>Nb_Tot_Internet</f>
        <v>0</v>
      </c>
      <c r="K6" s="4"/>
    </row>
    <row r="7" spans="1:11" ht="16" customHeight="1" x14ac:dyDescent="0.2">
      <c r="A7" s="108"/>
      <c r="B7" s="4"/>
      <c r="C7" s="450" t="s">
        <v>155</v>
      </c>
      <c r="D7" s="451"/>
      <c r="E7" s="451"/>
      <c r="F7" s="223">
        <f>Nb_Tot_Etages</f>
        <v>0</v>
      </c>
      <c r="G7" s="4"/>
      <c r="H7" s="450" t="s">
        <v>156</v>
      </c>
      <c r="I7" s="451"/>
      <c r="J7" s="220">
        <f>Tot_Switches</f>
        <v>0</v>
      </c>
      <c r="K7" s="4"/>
    </row>
    <row r="8" spans="1:11" ht="16" customHeight="1" x14ac:dyDescent="0.2">
      <c r="A8" s="108"/>
      <c r="B8" s="4"/>
      <c r="C8" s="452" t="s">
        <v>157</v>
      </c>
      <c r="D8" s="453"/>
      <c r="E8" s="453"/>
      <c r="F8" s="224">
        <f>Nb_Tot_SallesDeClasse</f>
        <v>0</v>
      </c>
      <c r="G8" s="4"/>
      <c r="H8" s="452" t="s">
        <v>158</v>
      </c>
      <c r="I8" s="453"/>
      <c r="J8" s="221">
        <f>Tot_Antennes_Wifi</f>
        <v>0</v>
      </c>
      <c r="K8" s="4"/>
    </row>
    <row r="9" spans="1:11" x14ac:dyDescent="0.2">
      <c r="A9" s="4"/>
      <c r="B9" s="111"/>
      <c r="C9" s="110"/>
      <c r="D9" s="4"/>
      <c r="E9" s="4"/>
      <c r="F9" s="107"/>
      <c r="G9" s="4"/>
      <c r="H9" s="4"/>
      <c r="I9" s="108"/>
      <c r="J9" s="4"/>
      <c r="K9" s="4"/>
    </row>
    <row r="10" spans="1:11" x14ac:dyDescent="0.2">
      <c r="A10" s="4"/>
      <c r="B10" s="109"/>
      <c r="C10" s="112"/>
      <c r="D10" s="4"/>
      <c r="E10" s="4"/>
      <c r="F10" s="107"/>
      <c r="G10" s="4"/>
      <c r="H10" s="4"/>
      <c r="I10" s="108"/>
      <c r="J10" s="4"/>
      <c r="K10" s="4"/>
    </row>
    <row r="11" spans="1:11" ht="32" x14ac:dyDescent="0.2">
      <c r="A11" s="4"/>
      <c r="B11" s="113" t="s">
        <v>159</v>
      </c>
      <c r="C11" s="114" t="s">
        <v>160</v>
      </c>
      <c r="D11" s="115" t="s">
        <v>161</v>
      </c>
      <c r="E11" s="116" t="s">
        <v>162</v>
      </c>
      <c r="F11" s="114" t="s">
        <v>163</v>
      </c>
      <c r="G11" s="117" t="s">
        <v>164</v>
      </c>
      <c r="H11" s="118" t="s">
        <v>165</v>
      </c>
      <c r="I11" s="114" t="s">
        <v>166</v>
      </c>
      <c r="J11" s="119" t="s">
        <v>167</v>
      </c>
      <c r="K11" s="4"/>
    </row>
    <row r="12" spans="1:11" ht="19" x14ac:dyDescent="0.2">
      <c r="A12" s="120"/>
      <c r="B12" s="121"/>
      <c r="C12" s="122"/>
      <c r="D12" s="123"/>
      <c r="E12" s="124"/>
      <c r="F12" s="125"/>
      <c r="G12" s="126"/>
      <c r="H12" s="127"/>
      <c r="I12" s="128"/>
      <c r="J12" s="129"/>
      <c r="K12" s="4"/>
    </row>
    <row r="13" spans="1:11" ht="15" customHeight="1" x14ac:dyDescent="0.2">
      <c r="A13" s="120"/>
      <c r="B13" s="130" t="s">
        <v>168</v>
      </c>
      <c r="C13" s="131"/>
      <c r="D13" s="132"/>
      <c r="E13" s="133"/>
      <c r="F13" s="134"/>
      <c r="G13" s="135"/>
      <c r="H13" s="136"/>
      <c r="I13" s="137"/>
      <c r="J13" s="138"/>
      <c r="K13" s="4"/>
    </row>
    <row r="14" spans="1:11" ht="16" customHeight="1" x14ac:dyDescent="0.2">
      <c r="A14" s="120"/>
      <c r="B14" s="139" t="s">
        <v>169</v>
      </c>
      <c r="C14" s="140">
        <f>Nb_Tot_Internet</f>
        <v>0</v>
      </c>
      <c r="D14" s="102"/>
      <c r="E14" s="141">
        <f t="shared" ref="E14:E18" si="0">MAX(0,C14-D14)</f>
        <v>0</v>
      </c>
      <c r="F14" s="142">
        <f>'Prix unitaires'!B5</f>
        <v>0</v>
      </c>
      <c r="G14" s="143">
        <f>'Prix unitaires'!C5</f>
        <v>500</v>
      </c>
      <c r="H14" s="144">
        <f>C14*F14</f>
        <v>0</v>
      </c>
      <c r="I14" s="145">
        <f>E14*G14</f>
        <v>0</v>
      </c>
      <c r="J14" s="146" t="s">
        <v>170</v>
      </c>
      <c r="K14" s="4"/>
    </row>
    <row r="15" spans="1:11" ht="16" customHeight="1" x14ac:dyDescent="0.2">
      <c r="A15" s="120"/>
      <c r="B15" s="139" t="s">
        <v>171</v>
      </c>
      <c r="C15" s="140">
        <f>Nb_Tot_Internet</f>
        <v>0</v>
      </c>
      <c r="D15" s="102"/>
      <c r="E15" s="141">
        <f t="shared" si="0"/>
        <v>0</v>
      </c>
      <c r="F15" s="142">
        <f>'Prix unitaires'!B6</f>
        <v>360</v>
      </c>
      <c r="G15" s="143">
        <f>'Prix unitaires'!C6</f>
        <v>700</v>
      </c>
      <c r="H15" s="144">
        <f>C15*F15</f>
        <v>0</v>
      </c>
      <c r="I15" s="145">
        <f>E15*G15</f>
        <v>0</v>
      </c>
      <c r="J15" s="146" t="s">
        <v>170</v>
      </c>
      <c r="K15" s="4"/>
    </row>
    <row r="16" spans="1:11" ht="16" customHeight="1" x14ac:dyDescent="0.2">
      <c r="A16" s="120"/>
      <c r="B16" s="139" t="s">
        <v>172</v>
      </c>
      <c r="C16" s="140">
        <f>Nb_Tot_Internet</f>
        <v>0</v>
      </c>
      <c r="D16" s="102"/>
      <c r="E16" s="141">
        <f t="shared" si="0"/>
        <v>0</v>
      </c>
      <c r="F16" s="142">
        <f>'Prix unitaires'!B7</f>
        <v>0</v>
      </c>
      <c r="G16" s="143">
        <f>'Prix unitaires'!C7</f>
        <v>1300</v>
      </c>
      <c r="H16" s="144">
        <f>C16*F16</f>
        <v>0</v>
      </c>
      <c r="I16" s="145">
        <f>E16*G16</f>
        <v>0</v>
      </c>
      <c r="J16" s="147">
        <f>C16*G16</f>
        <v>0</v>
      </c>
      <c r="K16" s="4"/>
    </row>
    <row r="17" spans="1:11" ht="16" customHeight="1" x14ac:dyDescent="0.2">
      <c r="A17" s="120"/>
      <c r="B17" s="139" t="s">
        <v>173</v>
      </c>
      <c r="C17" s="140">
        <f>Tot_Switches</f>
        <v>0</v>
      </c>
      <c r="D17" s="102"/>
      <c r="E17" s="141">
        <f t="shared" si="0"/>
        <v>0</v>
      </c>
      <c r="F17" s="142"/>
      <c r="G17" s="143">
        <f>'Prix unitaires'!C9</f>
        <v>2000</v>
      </c>
      <c r="H17" s="144"/>
      <c r="I17" s="145">
        <f>E17*G17</f>
        <v>0</v>
      </c>
      <c r="J17" s="147">
        <f>C17*G17</f>
        <v>0</v>
      </c>
      <c r="K17" s="4"/>
    </row>
    <row r="18" spans="1:11" ht="16" customHeight="1" x14ac:dyDescent="0.2">
      <c r="A18" s="120"/>
      <c r="B18" s="139" t="s">
        <v>174</v>
      </c>
      <c r="C18" s="140" cm="1">
        <f t="array" ref="C18">Tot_Armoire_réseau</f>
        <v>0</v>
      </c>
      <c r="D18" s="102"/>
      <c r="E18" s="141">
        <f t="shared" si="0"/>
        <v>0</v>
      </c>
      <c r="F18" s="142"/>
      <c r="G18" s="143">
        <f>'Prix unitaires'!C12</f>
        <v>500</v>
      </c>
      <c r="H18" s="144"/>
      <c r="I18" s="145">
        <f>E18*G18</f>
        <v>0</v>
      </c>
      <c r="J18" s="146" t="s">
        <v>170</v>
      </c>
      <c r="K18" s="4"/>
    </row>
    <row r="19" spans="1:11" ht="16" customHeight="1" x14ac:dyDescent="0.2">
      <c r="A19" s="120"/>
      <c r="B19" s="139" t="s">
        <v>175</v>
      </c>
      <c r="C19" s="140">
        <f>Tot_Switches+Nb_Tot_Internet</f>
        <v>0</v>
      </c>
      <c r="D19" s="446">
        <f>C19</f>
        <v>0</v>
      </c>
      <c r="E19" s="447"/>
      <c r="F19" s="142">
        <f>'Prix unitaires'!B13</f>
        <v>200</v>
      </c>
      <c r="G19" s="149" t="s">
        <v>170</v>
      </c>
      <c r="H19" s="150">
        <f>C19*F19</f>
        <v>0</v>
      </c>
      <c r="I19" s="146" t="s">
        <v>170</v>
      </c>
      <c r="J19" s="146" t="s">
        <v>170</v>
      </c>
      <c r="K19" s="4"/>
    </row>
    <row r="20" spans="1:11" ht="16" customHeight="1" x14ac:dyDescent="0.2">
      <c r="A20" s="120"/>
      <c r="B20" s="151" t="s">
        <v>176</v>
      </c>
      <c r="C20" s="152">
        <f>Tot_Antennes_Wifi</f>
        <v>0</v>
      </c>
      <c r="D20" s="102"/>
      <c r="E20" s="141">
        <f t="shared" ref="E20:E22" si="1">MAX(0,C20-D20)</f>
        <v>0</v>
      </c>
      <c r="F20" s="142"/>
      <c r="G20" s="143">
        <f>'Prix unitaires'!C14</f>
        <v>850</v>
      </c>
      <c r="H20" s="144"/>
      <c r="I20" s="145">
        <f>E20*G20</f>
        <v>0</v>
      </c>
      <c r="J20" s="147">
        <f>C20*G20</f>
        <v>0</v>
      </c>
      <c r="K20" s="4"/>
    </row>
    <row r="21" spans="1:11" ht="16" customHeight="1" x14ac:dyDescent="0.2">
      <c r="A21" s="120"/>
      <c r="B21" s="139" t="s">
        <v>177</v>
      </c>
      <c r="C21" s="140">
        <f>Nb_Tot_Internet</f>
        <v>0</v>
      </c>
      <c r="D21" s="102"/>
      <c r="E21" s="141">
        <f t="shared" si="1"/>
        <v>0</v>
      </c>
      <c r="F21" s="142">
        <f>'Prix unitaires'!B15</f>
        <v>300</v>
      </c>
      <c r="G21" s="143">
        <f>'Prix unitaires'!C15</f>
        <v>600</v>
      </c>
      <c r="H21" s="144">
        <f>C21*F21</f>
        <v>0</v>
      </c>
      <c r="I21" s="145">
        <f>E21*G21</f>
        <v>0</v>
      </c>
      <c r="J21" s="147">
        <f>C21*G21</f>
        <v>0</v>
      </c>
      <c r="K21" s="4"/>
    </row>
    <row r="22" spans="1:11" ht="16" customHeight="1" x14ac:dyDescent="0.2">
      <c r="A22" s="120"/>
      <c r="B22" s="139" t="s">
        <v>178</v>
      </c>
      <c r="C22" s="140">
        <f>Tot_Connexions</f>
        <v>0</v>
      </c>
      <c r="D22" s="102"/>
      <c r="E22" s="141">
        <f t="shared" si="1"/>
        <v>0</v>
      </c>
      <c r="F22" s="142"/>
      <c r="G22" s="143">
        <f>'Prix unitaires'!C16</f>
        <v>500</v>
      </c>
      <c r="H22" s="144"/>
      <c r="I22" s="145">
        <f>E22*G22</f>
        <v>0</v>
      </c>
      <c r="J22" s="146" t="s">
        <v>170</v>
      </c>
      <c r="K22" s="4"/>
    </row>
    <row r="23" spans="1:11" ht="15" customHeight="1" x14ac:dyDescent="0.2">
      <c r="A23" s="120"/>
      <c r="B23" s="153" t="s">
        <v>179</v>
      </c>
      <c r="C23" s="131"/>
      <c r="D23" s="132"/>
      <c r="E23" s="133"/>
      <c r="F23" s="154"/>
      <c r="G23" s="155"/>
      <c r="H23" s="156"/>
      <c r="I23" s="157"/>
      <c r="J23" s="158"/>
      <c r="K23" s="4"/>
    </row>
    <row r="24" spans="1:11" ht="16" customHeight="1" x14ac:dyDescent="0.2">
      <c r="A24" s="120"/>
      <c r="B24" s="159" t="s">
        <v>180</v>
      </c>
      <c r="C24" s="152">
        <f t="shared" ref="C24:C29" si="2">Nb_Cla_Std</f>
        <v>0</v>
      </c>
      <c r="D24" s="102"/>
      <c r="E24" s="148">
        <f>MAX(0,C24-D24)</f>
        <v>0</v>
      </c>
      <c r="F24" s="142"/>
      <c r="G24" s="143">
        <f>'Prix unitaires'!C23</f>
        <v>5000</v>
      </c>
      <c r="H24" s="144"/>
      <c r="I24" s="160">
        <f t="shared" ref="I24:I30" si="3">E24*G24</f>
        <v>0</v>
      </c>
      <c r="J24" s="161">
        <f t="shared" ref="J24:J30" si="4">C24*G24</f>
        <v>0</v>
      </c>
      <c r="K24" s="4" t="str">
        <f t="shared" ref="K24:K30" si="5">IF(D24&gt;$C$9,"Attention-ERREUR DE CALCUL! Le nombre existant dépasse le Total des salles à équiper ","")</f>
        <v/>
      </c>
    </row>
    <row r="25" spans="1:11" ht="16" customHeight="1" x14ac:dyDescent="0.2">
      <c r="A25" s="120"/>
      <c r="B25" s="162" t="s">
        <v>181</v>
      </c>
      <c r="C25" s="140">
        <f t="shared" si="2"/>
        <v>0</v>
      </c>
      <c r="D25" s="102"/>
      <c r="E25" s="148">
        <f t="shared" ref="E25:E30" si="6">MAX(0,C25-D25)</f>
        <v>0</v>
      </c>
      <c r="F25" s="142"/>
      <c r="G25" s="143">
        <f>'Prix unitaires'!C24</f>
        <v>500</v>
      </c>
      <c r="H25" s="144"/>
      <c r="I25" s="160">
        <f t="shared" si="3"/>
        <v>0</v>
      </c>
      <c r="J25" s="161">
        <f t="shared" si="4"/>
        <v>0</v>
      </c>
      <c r="K25" s="4" t="str">
        <f t="shared" si="5"/>
        <v/>
      </c>
    </row>
    <row r="26" spans="1:11" ht="16" customHeight="1" x14ac:dyDescent="0.2">
      <c r="A26" s="120"/>
      <c r="B26" s="162" t="s">
        <v>182</v>
      </c>
      <c r="C26" s="140">
        <f t="shared" si="2"/>
        <v>0</v>
      </c>
      <c r="D26" s="102"/>
      <c r="E26" s="148">
        <f t="shared" si="6"/>
        <v>0</v>
      </c>
      <c r="F26" s="142"/>
      <c r="G26" s="143">
        <f>'Prix unitaires'!C25</f>
        <v>700</v>
      </c>
      <c r="H26" s="144"/>
      <c r="I26" s="160">
        <f t="shared" si="3"/>
        <v>0</v>
      </c>
      <c r="J26" s="161">
        <f t="shared" si="4"/>
        <v>0</v>
      </c>
      <c r="K26" s="4" t="str">
        <f t="shared" si="5"/>
        <v/>
      </c>
    </row>
    <row r="27" spans="1:11" ht="16" customHeight="1" x14ac:dyDescent="0.2">
      <c r="A27" s="120"/>
      <c r="B27" s="162" t="s">
        <v>183</v>
      </c>
      <c r="C27" s="140">
        <f t="shared" si="2"/>
        <v>0</v>
      </c>
      <c r="D27" s="102"/>
      <c r="E27" s="148">
        <f t="shared" si="6"/>
        <v>0</v>
      </c>
      <c r="F27" s="142"/>
      <c r="G27" s="143">
        <f>'Prix unitaires'!C26</f>
        <v>400</v>
      </c>
      <c r="H27" s="144"/>
      <c r="I27" s="160">
        <f t="shared" si="3"/>
        <v>0</v>
      </c>
      <c r="J27" s="161">
        <f t="shared" si="4"/>
        <v>0</v>
      </c>
      <c r="K27" s="4" t="str">
        <f t="shared" si="5"/>
        <v/>
      </c>
    </row>
    <row r="28" spans="1:11" ht="16" customHeight="1" x14ac:dyDescent="0.2">
      <c r="A28" s="120"/>
      <c r="B28" s="162" t="s">
        <v>184</v>
      </c>
      <c r="C28" s="140">
        <f t="shared" si="2"/>
        <v>0</v>
      </c>
      <c r="D28" s="102"/>
      <c r="E28" s="148">
        <f t="shared" si="6"/>
        <v>0</v>
      </c>
      <c r="F28" s="142"/>
      <c r="G28" s="143">
        <f>'Prix unitaires'!C27</f>
        <v>300</v>
      </c>
      <c r="H28" s="144"/>
      <c r="I28" s="160">
        <f t="shared" si="3"/>
        <v>0</v>
      </c>
      <c r="J28" s="161">
        <f t="shared" si="4"/>
        <v>0</v>
      </c>
      <c r="K28" s="4" t="str">
        <f t="shared" si="5"/>
        <v/>
      </c>
    </row>
    <row r="29" spans="1:11" ht="16" customHeight="1" x14ac:dyDescent="0.2">
      <c r="A29" s="120"/>
      <c r="B29" s="162" t="s">
        <v>185</v>
      </c>
      <c r="C29" s="140">
        <f t="shared" si="2"/>
        <v>0</v>
      </c>
      <c r="D29" s="102"/>
      <c r="E29" s="148">
        <f t="shared" si="6"/>
        <v>0</v>
      </c>
      <c r="F29" s="142"/>
      <c r="G29" s="143">
        <f>'Prix unitaires'!C28</f>
        <v>300</v>
      </c>
      <c r="H29" s="144"/>
      <c r="I29" s="160">
        <f t="shared" si="3"/>
        <v>0</v>
      </c>
      <c r="J29" s="161">
        <f t="shared" si="4"/>
        <v>0</v>
      </c>
      <c r="K29" s="4" t="str">
        <f t="shared" si="5"/>
        <v/>
      </c>
    </row>
    <row r="30" spans="1:11" ht="16" customHeight="1" x14ac:dyDescent="0.2">
      <c r="A30" s="120"/>
      <c r="B30" s="162" t="s">
        <v>186</v>
      </c>
      <c r="C30" s="163">
        <f>ROUNDUP((Tot_Equip_Elèves)/10,0)*10</f>
        <v>0</v>
      </c>
      <c r="D30" s="102"/>
      <c r="E30" s="148">
        <f t="shared" si="6"/>
        <v>0</v>
      </c>
      <c r="F30" s="142"/>
      <c r="G30" s="143">
        <f>IF(Nb_Ele_9_11H&gt;0,'Prix unitaires'!C30,'Prix unitaires'!C31)</f>
        <v>30</v>
      </c>
      <c r="H30" s="144"/>
      <c r="I30" s="160">
        <f t="shared" si="3"/>
        <v>0</v>
      </c>
      <c r="J30" s="161">
        <f t="shared" si="4"/>
        <v>0</v>
      </c>
      <c r="K30" s="4" t="str">
        <f t="shared" si="5"/>
        <v/>
      </c>
    </row>
    <row r="31" spans="1:11" ht="16" customHeight="1" x14ac:dyDescent="0.2">
      <c r="A31" s="120"/>
      <c r="B31" s="164" t="s">
        <v>187</v>
      </c>
      <c r="C31" s="165">
        <f>Tot_Syst_Rang</f>
        <v>0</v>
      </c>
      <c r="D31" s="166">
        <f>Tot_Syst_Rang_conserver</f>
        <v>0</v>
      </c>
      <c r="E31" s="167">
        <f>Tot_Syst_Rang_nouveaux</f>
        <v>0</v>
      </c>
      <c r="F31" s="168"/>
      <c r="G31" s="169" t="s">
        <v>188</v>
      </c>
      <c r="H31" s="170"/>
      <c r="I31" s="171">
        <f>Tot_Cout_Syst_Rang_init</f>
        <v>0</v>
      </c>
      <c r="J31" s="172"/>
      <c r="K31" s="4"/>
    </row>
    <row r="32" spans="1:11" ht="16" customHeight="1" x14ac:dyDescent="0.2">
      <c r="A32" s="4"/>
      <c r="B32" s="173"/>
      <c r="C32" s="174"/>
      <c r="D32" s="445"/>
      <c r="E32" s="445"/>
      <c r="F32" s="176"/>
      <c r="G32" s="176"/>
      <c r="H32" s="176">
        <f>SUM(H13:H31)</f>
        <v>0</v>
      </c>
      <c r="I32" s="176">
        <f>SUM(I13:I31)</f>
        <v>0</v>
      </c>
      <c r="J32" s="176">
        <f>SUM(J13:J31)</f>
        <v>0</v>
      </c>
      <c r="K32" s="4"/>
    </row>
    <row r="33" spans="1:11" ht="16" customHeight="1" x14ac:dyDescent="0.2">
      <c r="A33" s="4"/>
      <c r="B33" s="177" t="s">
        <v>189</v>
      </c>
      <c r="C33" s="178"/>
      <c r="D33" s="179" t="s">
        <v>190</v>
      </c>
      <c r="E33" s="180" t="s">
        <v>191</v>
      </c>
      <c r="F33" s="181"/>
      <c r="G33" s="454" t="s">
        <v>192</v>
      </c>
      <c r="H33" s="454"/>
      <c r="I33" s="454"/>
      <c r="J33" s="454"/>
      <c r="K33" s="4"/>
    </row>
    <row r="34" spans="1:11" x14ac:dyDescent="0.2">
      <c r="A34" s="4"/>
      <c r="B34" s="182" t="s">
        <v>193</v>
      </c>
      <c r="C34" s="183"/>
      <c r="D34" s="184">
        <f>MROUND(Couts_Uniques_Initiaux_brut,1000)</f>
        <v>0</v>
      </c>
      <c r="E34" s="185">
        <f>MROUND(Couts_Uniques_Initiaux/(Nb_Tot_Eleves+0.0001),100)</f>
        <v>0</v>
      </c>
      <c r="F34" s="186"/>
      <c r="G34" s="454"/>
      <c r="H34" s="454"/>
      <c r="I34" s="454"/>
      <c r="J34" s="454"/>
      <c r="K34" s="4"/>
    </row>
    <row r="35" spans="1:11" x14ac:dyDescent="0.2">
      <c r="A35" s="4"/>
      <c r="B35" s="182" t="s">
        <v>194</v>
      </c>
      <c r="C35" s="183"/>
      <c r="D35" s="187">
        <f>MROUND(Couts_Uniques_Renouv_Bruts,1000)</f>
        <v>0</v>
      </c>
      <c r="E35" s="188">
        <f>MROUND(Couts_Uniques_Renouv/(Nb_Tot_Eleves+0.0001),100)</f>
        <v>0</v>
      </c>
      <c r="F35" s="186"/>
      <c r="G35" s="4"/>
      <c r="H35" s="4"/>
      <c r="I35" s="108"/>
      <c r="J35" s="4"/>
      <c r="K35" s="4"/>
    </row>
    <row r="36" spans="1:11" x14ac:dyDescent="0.2">
      <c r="A36" s="4"/>
      <c r="B36" s="189" t="s">
        <v>195</v>
      </c>
      <c r="C36" s="190"/>
      <c r="D36" s="191">
        <f>MROUND(Couts_Annuels_Bruts,100)</f>
        <v>0</v>
      </c>
      <c r="E36" s="192">
        <f>MROUND(Couts_Annuels/(Nb_Tot_Eleves+0.0001),1)</f>
        <v>0</v>
      </c>
      <c r="F36" s="186"/>
      <c r="G36" s="4"/>
      <c r="H36" s="4"/>
      <c r="I36" s="108"/>
      <c r="J36" s="4"/>
      <c r="K36" s="4"/>
    </row>
    <row r="37" spans="1:11" x14ac:dyDescent="0.2">
      <c r="A37" s="4"/>
      <c r="B37" s="332"/>
      <c r="C37" s="4"/>
      <c r="D37" s="4"/>
      <c r="E37" s="175"/>
      <c r="F37" s="4"/>
      <c r="G37" s="4"/>
      <c r="H37" s="4"/>
      <c r="I37" s="108"/>
      <c r="J37" s="4"/>
      <c r="K37" s="4"/>
    </row>
    <row r="38" spans="1:11" x14ac:dyDescent="0.2">
      <c r="A38" s="4"/>
      <c r="B38" s="4"/>
      <c r="C38" s="4"/>
      <c r="D38" s="4"/>
      <c r="E38" s="175"/>
      <c r="F38" s="4"/>
      <c r="G38" s="4"/>
      <c r="H38" s="4"/>
      <c r="I38" s="108"/>
      <c r="J38" s="4"/>
      <c r="K38" s="4"/>
    </row>
    <row r="39" spans="1:11" x14ac:dyDescent="0.2">
      <c r="A39" s="4"/>
      <c r="B39" s="4"/>
      <c r="C39" s="4"/>
      <c r="D39" s="4"/>
      <c r="E39" s="175"/>
      <c r="F39" s="4"/>
      <c r="G39" s="4"/>
      <c r="H39" s="4"/>
      <c r="I39" s="108"/>
      <c r="J39" s="4"/>
      <c r="K39" s="4"/>
    </row>
    <row r="40" spans="1:11" x14ac:dyDescent="0.2">
      <c r="A40" s="4"/>
      <c r="B40" s="4"/>
      <c r="C40" s="4"/>
      <c r="D40" s="4"/>
      <c r="E40" s="175"/>
      <c r="F40" s="4"/>
      <c r="G40" s="4"/>
      <c r="H40" s="4"/>
      <c r="I40" s="108"/>
      <c r="J40" s="4"/>
      <c r="K40" s="4"/>
    </row>
    <row r="41" spans="1:11" x14ac:dyDescent="0.2">
      <c r="A41" s="4"/>
      <c r="B41" s="4"/>
      <c r="C41" s="4"/>
      <c r="D41" s="4"/>
      <c r="E41" s="175"/>
      <c r="F41" s="4"/>
      <c r="G41" s="4"/>
      <c r="H41" s="4"/>
      <c r="I41" s="108"/>
      <c r="J41" s="4"/>
      <c r="K41" s="4"/>
    </row>
    <row r="42" spans="1:11" x14ac:dyDescent="0.2">
      <c r="A42" s="4"/>
      <c r="B42" s="4"/>
      <c r="C42" s="4"/>
      <c r="D42" s="4"/>
      <c r="E42" s="175"/>
      <c r="F42" s="4"/>
      <c r="G42" s="4"/>
      <c r="H42" s="4"/>
      <c r="I42" s="108"/>
      <c r="J42" s="4"/>
      <c r="K42" s="4"/>
    </row>
    <row r="43" spans="1:11" x14ac:dyDescent="0.2">
      <c r="A43" s="4"/>
      <c r="B43" s="4"/>
      <c r="C43" s="4"/>
      <c r="D43" s="4"/>
      <c r="E43" s="175"/>
      <c r="F43" s="4"/>
      <c r="G43" s="4"/>
      <c r="H43" s="4"/>
      <c r="I43" s="108"/>
      <c r="J43" s="4"/>
      <c r="K43" s="4"/>
    </row>
    <row r="44" spans="1:11" x14ac:dyDescent="0.2">
      <c r="A44" s="4"/>
      <c r="B44" s="4"/>
      <c r="C44" s="4"/>
      <c r="D44" s="4"/>
      <c r="E44" s="175"/>
      <c r="F44" s="4"/>
      <c r="G44" s="4"/>
      <c r="H44" s="4"/>
      <c r="I44" s="108"/>
      <c r="J44" s="4"/>
      <c r="K44" s="4"/>
    </row>
    <row r="45" spans="1:11" x14ac:dyDescent="0.2">
      <c r="A45" s="4"/>
      <c r="B45" s="4"/>
      <c r="C45" s="4"/>
      <c r="D45" s="4"/>
      <c r="E45" s="175"/>
      <c r="F45" s="4"/>
      <c r="G45" s="4"/>
      <c r="H45" s="4"/>
      <c r="I45" s="108"/>
      <c r="J45" s="4"/>
      <c r="K45" s="4"/>
    </row>
    <row r="46" spans="1:11" x14ac:dyDescent="0.2">
      <c r="A46" s="4"/>
      <c r="B46" s="4"/>
      <c r="C46" s="4"/>
      <c r="D46" s="4"/>
      <c r="E46" s="175"/>
      <c r="F46" s="4"/>
      <c r="G46" s="4"/>
      <c r="H46" s="4"/>
      <c r="I46" s="108"/>
      <c r="J46" s="4"/>
      <c r="K46" s="4"/>
    </row>
    <row r="47" spans="1:11" x14ac:dyDescent="0.2">
      <c r="A47" s="4"/>
      <c r="B47" s="4"/>
      <c r="C47" s="4"/>
      <c r="D47" s="4"/>
      <c r="E47" s="175"/>
      <c r="F47" s="4"/>
      <c r="G47" s="4"/>
      <c r="H47" s="4"/>
      <c r="I47" s="108"/>
      <c r="J47" s="4"/>
      <c r="K47" s="4"/>
    </row>
    <row r="48" spans="1:11" x14ac:dyDescent="0.2">
      <c r="A48" s="4"/>
      <c r="B48" s="4"/>
      <c r="C48" s="4"/>
      <c r="D48" s="4"/>
      <c r="E48" s="175"/>
      <c r="F48" s="4"/>
      <c r="G48" s="4"/>
      <c r="H48" s="4"/>
      <c r="I48" s="108"/>
      <c r="J48" s="4"/>
      <c r="K48" s="4"/>
    </row>
    <row r="49" spans="3:49" x14ac:dyDescent="0.2">
      <c r="C49"/>
      <c r="D49"/>
      <c r="E49" s="193"/>
    </row>
    <row r="50" spans="3:49" x14ac:dyDescent="0.2">
      <c r="C50"/>
      <c r="D50"/>
      <c r="E50" s="193"/>
    </row>
    <row r="51" spans="3:49" x14ac:dyDescent="0.2">
      <c r="C51"/>
      <c r="D51"/>
      <c r="E51" s="193"/>
    </row>
    <row r="52" spans="3:49" x14ac:dyDescent="0.2">
      <c r="C52"/>
      <c r="D52"/>
      <c r="E52" s="193"/>
    </row>
    <row r="53" spans="3:49" x14ac:dyDescent="0.2">
      <c r="C53"/>
      <c r="D53"/>
      <c r="E53" s="193"/>
    </row>
    <row r="54" spans="3:49" x14ac:dyDescent="0.2">
      <c r="C54"/>
      <c r="D54"/>
      <c r="E54" s="193"/>
    </row>
    <row r="55" spans="3:49" x14ac:dyDescent="0.2">
      <c r="C55"/>
      <c r="D55"/>
      <c r="E55" s="193"/>
    </row>
    <row r="56" spans="3:49" x14ac:dyDescent="0.2">
      <c r="C56"/>
      <c r="D56"/>
      <c r="E56" s="193"/>
    </row>
    <row r="57" spans="3:49" ht="19" x14ac:dyDescent="0.2">
      <c r="C57"/>
      <c r="D57"/>
      <c r="E57" s="193"/>
      <c r="AO57" s="194"/>
      <c r="AP57" s="437" t="s">
        <v>189</v>
      </c>
      <c r="AQ57" s="438"/>
      <c r="AR57" s="438"/>
      <c r="AS57" s="438"/>
      <c r="AT57" s="438"/>
      <c r="AU57" s="438"/>
      <c r="AV57" s="438"/>
      <c r="AW57" s="439"/>
    </row>
    <row r="58" spans="3:49" x14ac:dyDescent="0.2">
      <c r="AO58" s="195"/>
      <c r="AP58" s="440" t="s">
        <v>196</v>
      </c>
      <c r="AQ58" s="441"/>
      <c r="AR58" s="441"/>
      <c r="AS58" s="441"/>
      <c r="AT58" s="441"/>
      <c r="AU58" s="441"/>
      <c r="AV58" s="441"/>
      <c r="AW58" s="442"/>
    </row>
    <row r="59" spans="3:49" x14ac:dyDescent="0.2">
      <c r="C59"/>
      <c r="D59"/>
      <c r="AO59" s="195"/>
      <c r="AP59" s="194" t="s">
        <v>197</v>
      </c>
      <c r="AQ59" s="194" t="s">
        <v>198</v>
      </c>
      <c r="AR59" s="194" t="s">
        <v>199</v>
      </c>
      <c r="AS59" s="194" t="s">
        <v>200</v>
      </c>
      <c r="AT59" s="194" t="s">
        <v>201</v>
      </c>
      <c r="AU59" s="194" t="s">
        <v>202</v>
      </c>
      <c r="AV59" s="194" t="s">
        <v>203</v>
      </c>
      <c r="AW59" s="194" t="s">
        <v>204</v>
      </c>
    </row>
    <row r="60" spans="3:49" ht="32" x14ac:dyDescent="0.2">
      <c r="AO60" s="196"/>
      <c r="AP60" s="197" t="s">
        <v>205</v>
      </c>
      <c r="AQ60" s="198" t="s">
        <v>206</v>
      </c>
      <c r="AR60" s="198" t="s">
        <v>206</v>
      </c>
      <c r="AS60" s="198" t="s">
        <v>206</v>
      </c>
      <c r="AT60" s="198" t="s">
        <v>206</v>
      </c>
      <c r="AU60" s="198" t="s">
        <v>206</v>
      </c>
      <c r="AV60" s="198" t="s">
        <v>206</v>
      </c>
      <c r="AW60" s="199" t="s">
        <v>207</v>
      </c>
    </row>
    <row r="61" spans="3:49" ht="15" customHeight="1" x14ac:dyDescent="0.2">
      <c r="AO61" s="200" t="s">
        <v>208</v>
      </c>
      <c r="AP61" s="201">
        <f>Couts_Uniques_Initiaux</f>
        <v>0</v>
      </c>
      <c r="AQ61" s="202"/>
      <c r="AR61" s="202"/>
      <c r="AS61" s="202"/>
      <c r="AT61" s="202"/>
      <c r="AU61" s="202"/>
      <c r="AV61" s="202"/>
      <c r="AW61" s="203">
        <f>Couts_Uniques_Renouv</f>
        <v>0</v>
      </c>
    </row>
    <row r="62" spans="3:49" x14ac:dyDescent="0.2">
      <c r="AO62" s="200" t="s">
        <v>165</v>
      </c>
      <c r="AP62" s="204">
        <f t="shared" ref="AP62:AW62" si="7">Couts_Annuels</f>
        <v>0</v>
      </c>
      <c r="AQ62" s="205">
        <f t="shared" si="7"/>
        <v>0</v>
      </c>
      <c r="AR62" s="205">
        <f t="shared" si="7"/>
        <v>0</v>
      </c>
      <c r="AS62" s="205">
        <f t="shared" si="7"/>
        <v>0</v>
      </c>
      <c r="AT62" s="205">
        <f t="shared" si="7"/>
        <v>0</v>
      </c>
      <c r="AU62" s="205">
        <f t="shared" si="7"/>
        <v>0</v>
      </c>
      <c r="AV62" s="205">
        <f t="shared" si="7"/>
        <v>0</v>
      </c>
      <c r="AW62" s="206">
        <f t="shared" si="7"/>
        <v>0</v>
      </c>
    </row>
    <row r="63" spans="3:49" x14ac:dyDescent="0.2">
      <c r="L63" s="207"/>
      <c r="AO63" s="208" t="s">
        <v>209</v>
      </c>
      <c r="AP63" s="209">
        <f>AP61+AP62</f>
        <v>0</v>
      </c>
      <c r="AQ63" s="210">
        <f t="shared" ref="AQ63:AW63" si="8">AQ61+AQ62</f>
        <v>0</v>
      </c>
      <c r="AR63" s="210">
        <f t="shared" si="8"/>
        <v>0</v>
      </c>
      <c r="AS63" s="210">
        <f t="shared" si="8"/>
        <v>0</v>
      </c>
      <c r="AT63" s="210">
        <f t="shared" si="8"/>
        <v>0</v>
      </c>
      <c r="AU63" s="210">
        <f t="shared" si="8"/>
        <v>0</v>
      </c>
      <c r="AV63" s="210">
        <f t="shared" si="8"/>
        <v>0</v>
      </c>
      <c r="AW63" s="211">
        <f t="shared" si="8"/>
        <v>0</v>
      </c>
    </row>
    <row r="65" spans="40:51" ht="19" x14ac:dyDescent="0.2">
      <c r="AN65" s="17"/>
      <c r="AO65" s="212"/>
      <c r="AP65" s="213"/>
      <c r="AQ65" s="213"/>
      <c r="AR65" s="213"/>
      <c r="AS65" s="213"/>
      <c r="AT65" s="213"/>
      <c r="AU65" s="213"/>
      <c r="AV65" s="213"/>
      <c r="AW65" s="213"/>
      <c r="AX65" s="17"/>
      <c r="AY65" s="17"/>
    </row>
    <row r="66" spans="40:51" x14ac:dyDescent="0.2">
      <c r="AN66" s="17"/>
      <c r="AO66" s="212"/>
      <c r="AP66" s="214"/>
      <c r="AQ66" s="214"/>
      <c r="AR66" s="214"/>
      <c r="AS66" s="214"/>
      <c r="AT66" s="214"/>
      <c r="AU66" s="214"/>
      <c r="AV66" s="214"/>
      <c r="AW66" s="214"/>
      <c r="AX66" s="17"/>
      <c r="AY66" s="17"/>
    </row>
    <row r="67" spans="40:51" x14ac:dyDescent="0.2">
      <c r="AN67" s="17"/>
      <c r="AO67" s="212"/>
      <c r="AP67" s="212"/>
      <c r="AQ67" s="212"/>
      <c r="AR67" s="212"/>
      <c r="AS67" s="212"/>
      <c r="AT67" s="212"/>
      <c r="AU67" s="212"/>
      <c r="AV67" s="212"/>
      <c r="AW67" s="212"/>
      <c r="AX67" s="17"/>
      <c r="AY67" s="17"/>
    </row>
    <row r="68" spans="40:51" x14ac:dyDescent="0.2">
      <c r="AN68" s="17"/>
      <c r="AO68" s="212"/>
      <c r="AP68" s="215"/>
      <c r="AQ68" s="216"/>
      <c r="AR68" s="216"/>
      <c r="AS68" s="216"/>
      <c r="AT68" s="216"/>
      <c r="AU68" s="216"/>
      <c r="AV68" s="216"/>
      <c r="AW68" s="215"/>
      <c r="AX68" s="17"/>
      <c r="AY68" s="17"/>
    </row>
    <row r="69" spans="40:51" x14ac:dyDescent="0.2">
      <c r="AN69" s="17"/>
      <c r="AO69" s="217"/>
      <c r="AP69" s="218"/>
      <c r="AQ69" s="218"/>
      <c r="AR69" s="218"/>
      <c r="AS69" s="218"/>
      <c r="AT69" s="218"/>
      <c r="AU69" s="218"/>
      <c r="AV69" s="218"/>
      <c r="AW69" s="218"/>
      <c r="AX69" s="17"/>
      <c r="AY69" s="17"/>
    </row>
    <row r="70" spans="40:51" x14ac:dyDescent="0.2">
      <c r="AN70" s="17"/>
      <c r="AO70" s="217"/>
      <c r="AP70" s="218"/>
      <c r="AQ70" s="218"/>
      <c r="AR70" s="218"/>
      <c r="AS70" s="218"/>
      <c r="AT70" s="218"/>
      <c r="AU70" s="218"/>
      <c r="AV70" s="218"/>
      <c r="AW70" s="218"/>
      <c r="AX70" s="17"/>
      <c r="AY70" s="17"/>
    </row>
    <row r="71" spans="40:51" x14ac:dyDescent="0.2">
      <c r="AN71" s="17"/>
      <c r="AO71" s="217"/>
      <c r="AP71" s="218"/>
      <c r="AQ71" s="218"/>
      <c r="AR71" s="218"/>
      <c r="AS71" s="218"/>
      <c r="AT71" s="218"/>
      <c r="AU71" s="218"/>
      <c r="AV71" s="218"/>
      <c r="AW71" s="218"/>
      <c r="AX71" s="17"/>
      <c r="AY71" s="17"/>
    </row>
    <row r="72" spans="40:51" x14ac:dyDescent="0.2">
      <c r="AN72" s="17"/>
      <c r="AO72" s="17"/>
      <c r="AP72" s="17"/>
      <c r="AQ72" s="17"/>
      <c r="AR72" s="17"/>
      <c r="AS72" s="17"/>
      <c r="AT72" s="17"/>
      <c r="AU72" s="17"/>
      <c r="AV72" s="17"/>
      <c r="AW72" s="17"/>
      <c r="AX72" s="17"/>
      <c r="AY72" s="17"/>
    </row>
    <row r="73" spans="40:51" x14ac:dyDescent="0.2">
      <c r="AN73" s="17"/>
      <c r="AO73" s="17"/>
      <c r="AP73" s="17"/>
      <c r="AQ73" s="17"/>
      <c r="AR73" s="17"/>
      <c r="AS73" s="17"/>
      <c r="AT73" s="17"/>
      <c r="AU73" s="17"/>
      <c r="AV73" s="17"/>
      <c r="AW73" s="17"/>
      <c r="AX73" s="17"/>
      <c r="AY73" s="17"/>
    </row>
    <row r="99" spans="3:4" x14ac:dyDescent="0.2">
      <c r="C99"/>
      <c r="D99"/>
    </row>
    <row r="100" spans="3:4" x14ac:dyDescent="0.2">
      <c r="C100"/>
      <c r="D100"/>
    </row>
  </sheetData>
  <sheetProtection algorithmName="SHA-512" hashValue="znh017sTDUs9TvzMMe6uSSE1/NTCE3DdXgqcVLsQDmqYF/JFLjxSBQpdo7rerBFYv0Q1HtXM1UhVyZMMT+NYtg==" saltValue="zBrjIThQW2LIp3z3ZmKn8w==" spinCount="100000" sheet="1"/>
  <customSheetViews>
    <customSheetView guid="{2F7F83DD-5603-CE40-9872-ABF624ECE237}" fitToPage="1">
      <pageMargins left="0" right="0" top="0" bottom="0" header="0" footer="0"/>
      <pageSetup paperSize="9" scale="64" orientation="portrait" r:id="rId1"/>
      <headerFooter>
        <oddHeader>&amp;C&amp;F</oddHeader>
        <oddFooter>&amp;LVersion 1.0 / Centre de compétences Fritic &amp;C&amp;A&amp;RImprimé le &amp;D</oddFooter>
      </headerFooter>
    </customSheetView>
    <customSheetView guid="{D932F249-B54E-D54C-B8F4-0256603E93D7}" fitToPage="1" printArea="1">
      <pageMargins left="0" right="0" top="0" bottom="0" header="0" footer="0"/>
      <pageSetup paperSize="9" scale="64" orientation="portrait" r:id="rId2"/>
      <headerFooter>
        <oddHeader>&amp;C&amp;F</oddHeader>
        <oddFooter>&amp;LVersion 1.0 / Centre de compétences Fritic &amp;C&amp;A&amp;RImprimé le &amp;D</oddFooter>
      </headerFooter>
    </customSheetView>
  </customSheetViews>
  <mergeCells count="12">
    <mergeCell ref="AP57:AW57"/>
    <mergeCell ref="AP58:AW58"/>
    <mergeCell ref="B4:E4"/>
    <mergeCell ref="D32:E32"/>
    <mergeCell ref="D19:E19"/>
    <mergeCell ref="H6:I6"/>
    <mergeCell ref="H7:I7"/>
    <mergeCell ref="H8:I8"/>
    <mergeCell ref="C6:E6"/>
    <mergeCell ref="C7:E7"/>
    <mergeCell ref="C8:E8"/>
    <mergeCell ref="G33:J34"/>
  </mergeCells>
  <phoneticPr fontId="16" type="noConversion"/>
  <dataValidations count="32">
    <dataValidation type="whole" operator="greaterThanOrEqual" allowBlank="1" showInputMessage="1" showErrorMessage="1" sqref="K14:K22 E20 E22" xr:uid="{1F90A018-5486-4FC8-AA91-8E7E021836C2}">
      <formula1>0</formula1>
    </dataValidation>
    <dataValidation type="decimal" operator="greaterThanOrEqual" showInputMessage="1" showErrorMessage="1" error="Erreur; le nombre de salles ou de bâtiments ou d'étages existants ne peut dépasser le nombre total" sqref="I32:J32 K14:K22 K24:K32" xr:uid="{FE8B2DBF-4F7E-4BB0-B936-ACE1E9FDB4E9}">
      <formula1>0</formula1>
    </dataValidation>
    <dataValidation type="whole" allowBlank="1" showInputMessage="1" showErrorMessage="1" promptTitle="Sécurité" prompt="1 pare-feu simple par connexion internet pour gestion du trafic interne (VLAN)_x000a_inclus installation_x000a_sans abonnement annuel (filtrage sur l'accès internet Swisscom SAI)" sqref="C16:E16" xr:uid="{F32C19CA-1A2D-534B-9331-C9391F02878D}">
      <formula1>0</formula1>
      <formula2>B16</formula2>
    </dataValidation>
    <dataValidation type="whole" operator="greaterThanOrEqual" allowBlank="1" showInputMessage="1" showErrorMessage="1" promptTitle="Système de projection" prompt="1 équipement (non interactif, selon travaux de la CIIP, novembre 2018) par salle de classe et spéciale : beamer standard ou ultra courte focale; écran TV LED, installation comprise." sqref="C24 E24" xr:uid="{3F33B9D8-E3A0-9041-9ADF-5F89699E9BAF}">
      <formula1>0</formula1>
    </dataValidation>
    <dataValidation operator="greaterThanOrEqual" showInputMessage="1" showErrorMessage="1" error="Erreur; le nombre de salles ou de bâtiments ou d'étages existants ne peut dépasser le nombre total" sqref="I11:I18 F11:H11 K19 G20 E5 G22 G17:G18 G32:G33 F32:K32 F37:F1048576 J6:K8 K14:K16 I7:I8 F1:I5 F9:I10 A6:A8 G35:I1048576" xr:uid="{06523116-FC6B-E048-AB7F-E61EC1EA74EB}"/>
    <dataValidation allowBlank="1" showInputMessage="1" showErrorMessage="1" promptTitle="Estimation du nombre de switches" prompt="basée sur un modèle unique intermédiaire à 24 ports par simplification. _x000a_Un switch peut desservir plusieurs étages supérieurs, si leur nombre de connexions ne justifie pas un switch dédié. _x000a_Autres dispositions selon les conditions locales." sqref="C17 E17" xr:uid="{56FC22C0-1228-5B41-BFA3-77526409E306}"/>
    <dataValidation allowBlank="1" showInputMessage="1" showErrorMessage="1" promptTitle="Points d'accès WiFi" prompt="1x par salle de classe et spéciale_x000a_+ 1x pour postes et places WiFi (p.ex. salle des maîtres, bureau...)" sqref="C20" xr:uid="{4EEEF607-DFC2-AE41-95B3-CC60B2D710EC}"/>
    <dataValidation allowBlank="1" showInputMessage="1" showErrorMessage="1" promptTitle="Connexion réseau" prompt="Prises réseau, câbles et connexion sur Switches :_x000a_3x par salle de classe et spéciale, _x000a_+ 1x par place et appareil câblé, _x000a_+ 1x pour places et postes WiFi " sqref="C22" xr:uid="{5CC59840-8941-8E47-91AD-E86B2DBA7CC6}"/>
    <dataValidation type="whole" allowBlank="1" showInputMessage="1" showErrorMessage="1" promptTitle="Gestion globale du système WiFi" prompt="Controlleur en Cloud = 1x pour l'ensemble de l'établissement._x000a_Coût unique d'installation + coût mensuel" sqref="C21:E21" xr:uid="{D420D545-F151-014E-9720-3B6686DBFBBF}">
      <formula1>0</formula1>
      <formula2>B21</formula2>
    </dataValidation>
    <dataValidation type="whole" allowBlank="1" showInputMessage="1" showErrorMessage="1" promptTitle="Points d'accès WiFi" prompt="1x par salle de classe et spéciale_x000a_+ 1x par étage si des postes et places WiFi sont présent (p.ex. salle des maîtres, bureau...)" sqref="D20" xr:uid="{E76D5F0E-6B20-B141-BC65-F4359739A46F}">
      <formula1>0</formula1>
      <formula2>C20</formula2>
    </dataValidation>
    <dataValidation allowBlank="1" showInputMessage="1" showErrorMessage="1" promptTitle="Contrat de maintenance du réseau" prompt="basé sur le nombre de switches + firewall" sqref="C19:E19" xr:uid="{D9A08AAF-34C6-AB49-9E6E-D40817DABEEE}"/>
    <dataValidation type="whole" allowBlank="1" showInputMessage="1" showErrorMessage="1" promptTitle="Connexion internet" prompt="Offre Swisscom SAI : coût mensuel 0 CHF_x000a_+ frais d'installation par prestataire" sqref="C14:E14" xr:uid="{DCC71F58-8FA5-8645-80E0-6E8D8C4B8902}">
      <formula1>0</formula1>
      <formula2>B14</formula2>
    </dataValidation>
    <dataValidation type="whole" allowBlank="1" showInputMessage="1" showErrorMessage="1" promptTitle="Connexion réseau" prompt="Prises réseau, câbles et connexion sur Switches :_x000a_3x par salle de classe et spéciale, _x000a_+ 1x par place et appareil câblé, _x000a_+ 1x pour places et postes WiFi " sqref="D22" xr:uid="{9D997E22-ECAF-D645-8334-2DFBEA474756}">
      <formula1>0</formula1>
      <formula2>C22</formula2>
    </dataValidation>
    <dataValidation allowBlank="1" showInputMessage="1" showErrorMessage="1" promptTitle="Filtrage de l'accès internet" prompt="Offre Swisscom SAI_x000a_1x &quot;Managed Security&quot; par connexion internet : coût mensuel 30 CHF_x000a_+ frais d'installation par partenaire Swisscom" sqref="C15 E15" xr:uid="{8A714795-B68A-6D4C-A4A4-D099AA45FE46}"/>
    <dataValidation allowBlank="1" showInputMessage="1" showErrorMessage="1" promptTitle="Amoire pour switchs et câblage" prompt="1x par étage où se trouve au moins 1 switch" sqref="C18 E18" xr:uid="{21892DFB-9CBC-D54E-9478-2F36501730A0}"/>
    <dataValidation type="whole" operator="greaterThanOrEqual" allowBlank="1" showInputMessage="1" showErrorMessage="1" promptTitle="Système audio" prompt="1 barre de son (ou paire de haut-parleurs fixés sur le tableau) par salle de classe ou spéciale" sqref="C25 E25" xr:uid="{01265218-C854-5C4B-A50C-6112B4DE624C}">
      <formula1>0</formula1>
    </dataValidation>
    <dataValidation type="whole" operator="greaterThanOrEqual" allowBlank="1" showInputMessage="1" showErrorMessage="1" promptTitle="Transmiss. sans fil audio+vidéo" prompt="1 récepteur sans fil de l'image et du son par salle (appareil multinormes Airplay, Miracast, Chromecast)" sqref="C27 E27" xr:uid="{4F174B66-9AB9-7947-8EFB-EE9FA94E079C}">
      <formula1>0</formula1>
    </dataValidation>
    <dataValidation type="whole" operator="greaterThanOrEqual" allowBlank="1" showInputMessage="1" showErrorMessage="1" promptTitle="Caméra de document" prompt="1 équipement par salle" sqref="C26 E26" xr:uid="{346F2281-0676-B844-9379-B868B89B4E52}">
      <formula1>0</formula1>
    </dataValidation>
    <dataValidation type="whole" operator="greaterThanOrEqual" allowBlank="1" showInputMessage="1" showErrorMessage="1" promptTitle="Docking pour bureau" prompt="Adaptateur combiné pour l'alimentation de l'équipement personnel, les connections de périphériques USB, du câble vidéo HDMI, du câble réseau" sqref="C28 E28" xr:uid="{3609B4F7-804D-134E-8433-B9FBAAB84E88}">
      <formula1>0</formula1>
    </dataValidation>
    <dataValidation type="whole" operator="greaterThanOrEqual" allowBlank="1" showInputMessage="1" showErrorMessage="1" promptTitle="Petit matériel" prompt="1 set par salle : câbles et adaptateurs de réserves, casque audio..." sqref="C29 E29" xr:uid="{D5B9B163-15CE-9F40-B951-B05719B98DBB}">
      <formula1>0</formula1>
    </dataValidation>
    <dataValidation allowBlank="1" showInputMessage="1" showErrorMessage="1" promptTitle="Casques + microphone pour élèves" prompt="Modèle USB-C pour iPad, autrement modèle standard avec prise &quot;Jack&quot;" sqref="C30 E30" xr:uid="{53AAD755-5E00-424C-BA92-AE7DD1F1E306}"/>
    <dataValidation type="whole" operator="greaterThanOrEqual" allowBlank="1" showInputMessage="1" showErrorMessage="1" promptTitle="Système de rangement" prompt="Uniquement pour les écoles primaires._x000a_Introduire le détail (modèles et quantités) sur l'onglet &quot;1 données logistiques&quot; pour chaque bâtiment." sqref="C31:E31" xr:uid="{71791DDB-27AA-954F-800C-0F032B61D97D}">
      <formula1>0</formula1>
    </dataValidation>
    <dataValidation type="whole" allowBlank="1" showInputMessage="1" showErrorMessage="1" promptTitle="Filtrage de l'accès internet" prompt="Offre Swisscom SAI_x000a_1x &quot;Managed Security&quot; par connexion internet : coût mensuel 30 CHF_x000a_+ frais d'installation par partenaire Swisscom" sqref="D15" xr:uid="{DDB704A6-E3A5-D844-B443-4F247E64B6A0}">
      <formula1>0</formula1>
      <formula2>C15</formula2>
    </dataValidation>
    <dataValidation type="whole" allowBlank="1" showInputMessage="1" showErrorMessage="1" promptTitle="Estimation du nombre de switches" prompt="basée sur un modèle unique intermédiaire à 24 ports par simplification. _x000a_Un switch peut desservir plusieurs étages supérieurs, si leur nombre de connexions ne justifie pas un switch dédié. _x000a_Autres dispositions selon les conditions locales." sqref="D17" xr:uid="{D9885DED-DDAC-9242-86E0-8D64579A5725}">
      <formula1>0</formula1>
      <formula2>C17</formula2>
    </dataValidation>
    <dataValidation type="whole" allowBlank="1" showInputMessage="1" showErrorMessage="1" promptTitle="Amoire pour switchs et câblage" prompt="1x par étage où se trouve au moins 1 switch" sqref="D18" xr:uid="{F24D7DFA-43E6-1D49-890F-24F3E502BE12}">
      <formula1>0</formula1>
      <formula2>C18</formula2>
    </dataValidation>
    <dataValidation type="whole" allowBlank="1" showInputMessage="1" showErrorMessage="1" promptTitle="Système de projection" prompt="1 équipement (non interactif, selon travaux de la CIIP, novembre 2018) par salle de classe et spéciale : beamer standard ou ultra courte focale; écran TV LED, installation comprise." sqref="D24" xr:uid="{E629DEFE-700D-374B-9E54-2764C7DAD5A5}">
      <formula1>0</formula1>
      <formula2>C24</formula2>
    </dataValidation>
    <dataValidation type="whole" allowBlank="1" showInputMessage="1" showErrorMessage="1" promptTitle="Système audio" prompt="1 barre de son (ou paire de haut-parleurs fixés sur le tableau) par salle de classe ou spéciale" sqref="D25" xr:uid="{A4C4BB35-1637-8A4A-862D-E3332A7C9467}">
      <formula1>0</formula1>
      <formula2>C25</formula2>
    </dataValidation>
    <dataValidation type="whole" allowBlank="1" showInputMessage="1" showErrorMessage="1" promptTitle="Caméra de document" prompt="1 équipement par salle" sqref="D26" xr:uid="{957E2BE4-E474-8A4A-8FFC-A89750657658}">
      <formula1>0</formula1>
      <formula2>C26</formula2>
    </dataValidation>
    <dataValidation type="whole" allowBlank="1" showInputMessage="1" showErrorMessage="1" promptTitle="Transmiss. sans fil audio+vidéo" prompt="1 récepteur sans fil de l'image et du son par salle (appareil multinormes Airplay, Miracast, Chromecast)" sqref="D27" xr:uid="{352FF563-AB59-6A4E-AA39-7E8C3E70FD99}">
      <formula1>0</formula1>
      <formula2>C27</formula2>
    </dataValidation>
    <dataValidation type="whole" allowBlank="1" showInputMessage="1" showErrorMessage="1" promptTitle="Docking pour bureau" prompt="Adaptateur combiné pour l'alimentation de l'équipement personnel, les connections de périphériques USB, du câble vidéo HDMI, du câble réseau" sqref="D28" xr:uid="{747D7F70-A52D-AE40-AD32-A01C37963BBC}">
      <formula1>0</formula1>
      <formula2>C28</formula2>
    </dataValidation>
    <dataValidation type="whole" allowBlank="1" showInputMessage="1" showErrorMessage="1" promptTitle="Petit matériel" prompt="1 set par salle : câbles et adaptateurs de réserves, casque audio..." sqref="D29" xr:uid="{BB03F886-5695-DD4B-934D-72CE60E1DA6C}">
      <formula1>0</formula1>
      <formula2>C29</formula2>
    </dataValidation>
    <dataValidation type="whole" allowBlank="1" showInputMessage="1" showErrorMessage="1" promptTitle="Casques + microphone pour élèves" prompt="Modèle USB-C pour iPad, autrement modèle standard avec prise &quot;Jack&quot;" sqref="D30" xr:uid="{9F871937-DDA5-5247-BDEC-97E87E886543}">
      <formula1>0</formula1>
      <formula2>C30</formula2>
    </dataValidation>
  </dataValidations>
  <printOptions horizontalCentered="1"/>
  <pageMargins left="0.25" right="0.25" top="1" bottom="0.75" header="0.55000000000000004" footer="0.3"/>
  <pageSetup paperSize="9" scale="89" orientation="landscape" r:id="rId3"/>
  <headerFooter scaleWithDoc="0">
    <oddHeader>&amp;C&amp;F</oddHeader>
    <oddFooter>&amp;L&amp;"Calibri,Normal"&amp;K000000Version 1.2 / Centre de compétences Fritic &amp;C&amp;"Calibri,Normal"&amp;K000000&amp;A&amp;R&amp;"Calibri,Normal"&amp;K000000Imprimé le &amp;D</oddFooter>
  </headerFooter>
  <drawing r:id="rId4"/>
  <legacy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8FEBD-E32E-45C2-935F-5F48F01CB346}">
  <sheetPr>
    <pageSetUpPr fitToPage="1"/>
  </sheetPr>
  <dimension ref="A1:G43"/>
  <sheetViews>
    <sheetView zoomScale="130" zoomScaleNormal="130" workbookViewId="0">
      <selection activeCell="C10" sqref="C10"/>
    </sheetView>
  </sheetViews>
  <sheetFormatPr baseColWidth="10" defaultColWidth="11.5" defaultRowHeight="15" x14ac:dyDescent="0.2"/>
  <cols>
    <col min="1" max="1" width="51.5" style="1" customWidth="1"/>
    <col min="2" max="2" width="13" style="1" bestFit="1" customWidth="1"/>
    <col min="3" max="3" width="16.5" style="1" bestFit="1" customWidth="1"/>
    <col min="4" max="4" width="64.5" style="72" customWidth="1"/>
    <col min="5" max="5" width="61" style="1" customWidth="1"/>
  </cols>
  <sheetData>
    <row r="1" spans="1:5" x14ac:dyDescent="0.2">
      <c r="B1" s="91"/>
      <c r="C1" s="91"/>
    </row>
    <row r="2" spans="1:5" x14ac:dyDescent="0.2">
      <c r="A2" s="1" t="s">
        <v>210</v>
      </c>
      <c r="C2" s="91"/>
    </row>
    <row r="3" spans="1:5" x14ac:dyDescent="0.2">
      <c r="B3" s="91" t="s">
        <v>211</v>
      </c>
      <c r="C3" s="91" t="s">
        <v>212</v>
      </c>
      <c r="D3" s="72" t="s">
        <v>213</v>
      </c>
      <c r="E3" s="1" t="s">
        <v>214</v>
      </c>
    </row>
    <row r="4" spans="1:5" ht="14.5" customHeight="1" x14ac:dyDescent="0.2">
      <c r="A4" s="73" t="s">
        <v>67</v>
      </c>
      <c r="B4" s="74"/>
      <c r="C4" s="74"/>
      <c r="D4" s="75"/>
      <c r="E4" s="75"/>
    </row>
    <row r="5" spans="1:5" ht="64" x14ac:dyDescent="0.2">
      <c r="A5" s="3" t="s">
        <v>215</v>
      </c>
      <c r="B5" s="76"/>
      <c r="C5" s="77">
        <v>500</v>
      </c>
      <c r="D5" s="72" t="s">
        <v>216</v>
      </c>
      <c r="E5" s="3" t="s">
        <v>217</v>
      </c>
    </row>
    <row r="6" spans="1:5" ht="32" x14ac:dyDescent="0.2">
      <c r="A6" s="3" t="s">
        <v>218</v>
      </c>
      <c r="B6" s="78">
        <f>12*30</f>
        <v>360</v>
      </c>
      <c r="C6" s="76">
        <v>700</v>
      </c>
      <c r="D6" s="72" t="s">
        <v>219</v>
      </c>
      <c r="E6" s="3" t="s">
        <v>220</v>
      </c>
    </row>
    <row r="7" spans="1:5" ht="16" x14ac:dyDescent="0.2">
      <c r="A7" s="3" t="s">
        <v>221</v>
      </c>
      <c r="B7" s="78"/>
      <c r="C7" s="76">
        <f>700+600</f>
        <v>1300</v>
      </c>
      <c r="E7" s="5" t="s">
        <v>222</v>
      </c>
    </row>
    <row r="8" spans="1:5" ht="32" x14ac:dyDescent="0.2">
      <c r="A8" s="3" t="s">
        <v>223</v>
      </c>
      <c r="B8" s="76"/>
      <c r="C8" s="77">
        <f>MROUND(750+2*150,500)</f>
        <v>1000</v>
      </c>
      <c r="D8" s="72" t="s">
        <v>224</v>
      </c>
      <c r="E8" s="1" t="s">
        <v>225</v>
      </c>
    </row>
    <row r="9" spans="1:5" ht="17.25" customHeight="1" x14ac:dyDescent="0.2">
      <c r="A9" s="3" t="s">
        <v>226</v>
      </c>
      <c r="B9" s="76"/>
      <c r="C9" s="77">
        <f>MROUND(1500+2.5*150,500)</f>
        <v>2000</v>
      </c>
      <c r="D9" s="72" t="s">
        <v>224</v>
      </c>
      <c r="E9" s="1" t="s">
        <v>227</v>
      </c>
    </row>
    <row r="10" spans="1:5" ht="17.25" customHeight="1" x14ac:dyDescent="0.2">
      <c r="A10" s="3" t="s">
        <v>228</v>
      </c>
      <c r="B10" s="76"/>
      <c r="C10" s="77">
        <f>MROUND(3000+3*150,500)</f>
        <v>3500</v>
      </c>
      <c r="D10" s="72" t="s">
        <v>224</v>
      </c>
      <c r="E10" s="1" t="s">
        <v>229</v>
      </c>
    </row>
    <row r="11" spans="1:5" ht="17.25" customHeight="1" x14ac:dyDescent="0.2">
      <c r="A11" s="3" t="s">
        <v>230</v>
      </c>
      <c r="B11" s="76"/>
      <c r="C11" s="77"/>
      <c r="E11" s="1" t="s">
        <v>231</v>
      </c>
    </row>
    <row r="12" spans="1:5" ht="16" x14ac:dyDescent="0.2">
      <c r="A12" s="3" t="s">
        <v>232</v>
      </c>
      <c r="B12" s="76"/>
      <c r="C12" s="77">
        <v>500</v>
      </c>
      <c r="E12" s="1" t="s">
        <v>233</v>
      </c>
    </row>
    <row r="13" spans="1:5" ht="16" x14ac:dyDescent="0.2">
      <c r="A13" s="3" t="s">
        <v>234</v>
      </c>
      <c r="B13" s="76">
        <v>200</v>
      </c>
      <c r="C13" s="76"/>
      <c r="D13" s="72" t="s">
        <v>235</v>
      </c>
      <c r="E13" s="1" t="s">
        <v>236</v>
      </c>
    </row>
    <row r="14" spans="1:5" ht="16" x14ac:dyDescent="0.2">
      <c r="A14" s="3" t="s">
        <v>237</v>
      </c>
      <c r="B14" s="76"/>
      <c r="C14" s="77">
        <f>700+150</f>
        <v>850</v>
      </c>
      <c r="D14" s="72" t="s">
        <v>238</v>
      </c>
      <c r="E14" s="1" t="s">
        <v>239</v>
      </c>
    </row>
    <row r="15" spans="1:5" ht="16" x14ac:dyDescent="0.2">
      <c r="A15" s="3" t="s">
        <v>240</v>
      </c>
      <c r="B15" s="77">
        <v>300</v>
      </c>
      <c r="C15" s="76">
        <f>4*150</f>
        <v>600</v>
      </c>
      <c r="D15" s="72" t="s">
        <v>241</v>
      </c>
      <c r="E15" s="1" t="s">
        <v>242</v>
      </c>
    </row>
    <row r="16" spans="1:5" ht="16" x14ac:dyDescent="0.2">
      <c r="A16" s="3" t="s">
        <v>243</v>
      </c>
      <c r="B16" s="76"/>
      <c r="C16" s="76">
        <v>500</v>
      </c>
    </row>
    <row r="17" spans="1:7" ht="16" x14ac:dyDescent="0.2">
      <c r="A17" s="79" t="s">
        <v>187</v>
      </c>
      <c r="B17" s="80"/>
      <c r="C17" s="80">
        <v>2000</v>
      </c>
      <c r="D17" s="81" t="s">
        <v>244</v>
      </c>
    </row>
    <row r="18" spans="1:7" x14ac:dyDescent="0.2">
      <c r="A18" s="73" t="s">
        <v>245</v>
      </c>
      <c r="B18" s="82"/>
      <c r="C18" s="82"/>
      <c r="D18" s="75"/>
    </row>
    <row r="19" spans="1:7" x14ac:dyDescent="0.2">
      <c r="A19" s="83" t="s">
        <v>246</v>
      </c>
      <c r="B19" s="84"/>
      <c r="C19" s="84">
        <v>300</v>
      </c>
      <c r="D19" s="85" t="s">
        <v>247</v>
      </c>
    </row>
    <row r="20" spans="1:7" x14ac:dyDescent="0.2">
      <c r="A20" s="83" t="s">
        <v>248</v>
      </c>
      <c r="B20" s="84"/>
      <c r="C20" s="84">
        <v>700</v>
      </c>
      <c r="D20" s="85" t="s">
        <v>249</v>
      </c>
    </row>
    <row r="21" spans="1:7" ht="16" x14ac:dyDescent="0.2">
      <c r="A21" s="79" t="s">
        <v>250</v>
      </c>
      <c r="B21" s="84"/>
      <c r="C21" s="84">
        <v>500</v>
      </c>
      <c r="D21" s="81"/>
    </row>
    <row r="22" spans="1:7" x14ac:dyDescent="0.2">
      <c r="A22" s="73" t="s">
        <v>251</v>
      </c>
      <c r="B22" s="82"/>
      <c r="C22" s="82"/>
      <c r="D22" s="75"/>
    </row>
    <row r="23" spans="1:7" x14ac:dyDescent="0.2">
      <c r="A23" s="1" t="s">
        <v>252</v>
      </c>
      <c r="B23" s="76"/>
      <c r="C23" s="76">
        <v>5000</v>
      </c>
      <c r="D23" s="72" t="s">
        <v>253</v>
      </c>
    </row>
    <row r="24" spans="1:7" x14ac:dyDescent="0.2">
      <c r="A24" s="1" t="s">
        <v>254</v>
      </c>
      <c r="B24" s="76"/>
      <c r="C24" s="76">
        <v>500</v>
      </c>
      <c r="D24" s="72" t="s">
        <v>255</v>
      </c>
    </row>
    <row r="25" spans="1:7" x14ac:dyDescent="0.2">
      <c r="A25" s="1" t="s">
        <v>256</v>
      </c>
      <c r="B25" s="76"/>
      <c r="C25" s="76">
        <v>700</v>
      </c>
      <c r="D25" s="72" t="s">
        <v>257</v>
      </c>
    </row>
    <row r="26" spans="1:7" x14ac:dyDescent="0.2">
      <c r="A26" s="1" t="s">
        <v>183</v>
      </c>
      <c r="B26" s="76"/>
      <c r="C26" s="76">
        <v>400</v>
      </c>
      <c r="D26" s="86" t="s">
        <v>258</v>
      </c>
      <c r="E26" s="1" t="s">
        <v>259</v>
      </c>
    </row>
    <row r="27" spans="1:7" x14ac:dyDescent="0.2">
      <c r="A27" s="1" t="s">
        <v>260</v>
      </c>
      <c r="B27" s="76"/>
      <c r="C27" s="76">
        <v>300</v>
      </c>
      <c r="E27" s="5" t="s">
        <v>261</v>
      </c>
    </row>
    <row r="28" spans="1:7" x14ac:dyDescent="0.2">
      <c r="A28" s="1" t="s">
        <v>262</v>
      </c>
      <c r="B28" s="76"/>
      <c r="C28" s="76">
        <v>300</v>
      </c>
    </row>
    <row r="29" spans="1:7" x14ac:dyDescent="0.2">
      <c r="A29" s="1" t="s">
        <v>263</v>
      </c>
      <c r="B29" s="76"/>
      <c r="C29" s="76">
        <v>1154</v>
      </c>
      <c r="D29" s="72" t="s">
        <v>264</v>
      </c>
    </row>
    <row r="30" spans="1:7" x14ac:dyDescent="0.2">
      <c r="A30" s="1" t="s">
        <v>265</v>
      </c>
      <c r="B30" s="76"/>
      <c r="C30" s="76">
        <v>20</v>
      </c>
      <c r="E30" s="5" t="s">
        <v>266</v>
      </c>
    </row>
    <row r="31" spans="1:7" x14ac:dyDescent="0.2">
      <c r="A31" s="1" t="s">
        <v>267</v>
      </c>
      <c r="B31" s="76"/>
      <c r="C31" s="76">
        <v>30</v>
      </c>
      <c r="E31" s="5" t="s">
        <v>268</v>
      </c>
    </row>
    <row r="32" spans="1:7" x14ac:dyDescent="0.2">
      <c r="A32" s="73" t="s">
        <v>269</v>
      </c>
      <c r="B32" s="82"/>
      <c r="C32" s="82"/>
      <c r="D32" s="75"/>
      <c r="E32" s="1" t="s">
        <v>270</v>
      </c>
      <c r="F32" t="s">
        <v>271</v>
      </c>
      <c r="G32" t="s">
        <v>272</v>
      </c>
    </row>
    <row r="33" spans="1:7" x14ac:dyDescent="0.2">
      <c r="A33" s="1" t="s">
        <v>273</v>
      </c>
      <c r="B33" s="78">
        <v>3200</v>
      </c>
      <c r="C33" s="87"/>
      <c r="D33" s="72" t="s">
        <v>274</v>
      </c>
      <c r="E33" s="1">
        <f>ROUNDUP(220*12*1.07,-1)</f>
        <v>2830</v>
      </c>
      <c r="F33">
        <f>ROUNDUP(280*12*1.07,-1)</f>
        <v>3600</v>
      </c>
      <c r="G33">
        <f>(E33+F33)/2</f>
        <v>3215</v>
      </c>
    </row>
    <row r="34" spans="1:7" x14ac:dyDescent="0.2">
      <c r="A34" s="73" t="s">
        <v>275</v>
      </c>
      <c r="B34" s="82"/>
      <c r="C34" s="82"/>
      <c r="D34" s="75"/>
    </row>
    <row r="35" spans="1:7" x14ac:dyDescent="0.2">
      <c r="A35" s="1" t="s">
        <v>276</v>
      </c>
      <c r="B35" s="76"/>
      <c r="C35" s="76">
        <v>960</v>
      </c>
      <c r="D35" s="72" t="s">
        <v>277</v>
      </c>
    </row>
    <row r="36" spans="1:7" x14ac:dyDescent="0.2">
      <c r="A36" s="73"/>
      <c r="B36" s="82"/>
      <c r="C36" s="82"/>
      <c r="D36" s="75"/>
    </row>
    <row r="37" spans="1:7" x14ac:dyDescent="0.2">
      <c r="B37" s="76"/>
      <c r="C37" s="76"/>
    </row>
    <row r="38" spans="1:7" x14ac:dyDescent="0.2">
      <c r="B38" s="76"/>
      <c r="C38" s="76"/>
    </row>
    <row r="39" spans="1:7" x14ac:dyDescent="0.2">
      <c r="A39" s="88"/>
      <c r="B39" s="76"/>
      <c r="C39" s="89"/>
    </row>
    <row r="40" spans="1:7" x14ac:dyDescent="0.2">
      <c r="B40" s="89"/>
      <c r="C40" s="76"/>
    </row>
    <row r="41" spans="1:7" x14ac:dyDescent="0.2">
      <c r="B41" s="90"/>
      <c r="C41" s="90"/>
    </row>
    <row r="42" spans="1:7" x14ac:dyDescent="0.2">
      <c r="B42" s="90"/>
      <c r="C42" s="90"/>
    </row>
    <row r="43" spans="1:7" x14ac:dyDescent="0.2">
      <c r="B43" s="90"/>
      <c r="C43" s="90"/>
    </row>
  </sheetData>
  <customSheetViews>
    <customSheetView guid="{2F7F83DD-5603-CE40-9872-ABF624ECE237}" scale="160" fitToPage="1">
      <selection activeCell="D9" sqref="D9"/>
      <pageMargins left="0" right="0" top="0" bottom="0" header="0" footer="0"/>
      <pageSetup paperSize="9" scale="82" orientation="landscape" r:id="rId1"/>
    </customSheetView>
    <customSheetView guid="{D932F249-B54E-D54C-B8F4-0256603E93D7}" scale="160" fitToPage="1">
      <selection activeCell="D9" sqref="D9"/>
      <pageMargins left="0" right="0" top="0" bottom="0" header="0" footer="0"/>
      <pageSetup paperSize="9" scale="82" orientation="landscape" r:id="rId2"/>
    </customSheetView>
  </customSheetViews>
  <hyperlinks>
    <hyperlink ref="E7" r:id="rId3" display="https://www.bechtle.com/ch-fr/shop/appliance-sonicwall-tz370--4523400-40--p" xr:uid="{DED8554D-9ED5-6040-B4DE-08B22B07DB54}"/>
    <hyperlink ref="E30" r:id="rId4" display="https://www.bechtle.com/ch-fr/shop/micro-casque-pc-bureau-hama-hs-p100--4071108--p" xr:uid="{C84F3A19-B314-3F45-AD0E-3C3276870F2B}"/>
    <hyperlink ref="E27" r:id="rId5" display="https://www.bechtle.com/ch-fr/finder/type-de-produit--station-d-accueil/prix--158--665?query=docking+&amp;sorting=p_asc" xr:uid="{FD0B8C56-84E2-3449-AA94-018B7FA88A01}"/>
    <hyperlink ref="E31" r:id="rId6" display="https://www.bechtle.com/ch-fr/shop/casque-kensington-usb-c-hifi--4529114--p" xr:uid="{EF2E8EE1-613D-2542-BEEB-006CF79D6E68}"/>
  </hyperlinks>
  <pageMargins left="0.7" right="0.7" top="0.75" bottom="0.75" header="0.3" footer="0.3"/>
  <pageSetup paperSize="9" scale="82" orientation="landscape"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0E5B4-F7A7-C842-8343-939A424D731A}">
  <dimension ref="A1:L55"/>
  <sheetViews>
    <sheetView topLeftCell="A18" zoomScale="140" zoomScaleNormal="140" workbookViewId="0">
      <selection activeCell="A30" sqref="A30"/>
    </sheetView>
  </sheetViews>
  <sheetFormatPr baseColWidth="10" defaultColWidth="11.5" defaultRowHeight="15" x14ac:dyDescent="0.2"/>
  <cols>
    <col min="1" max="1" width="22.5" customWidth="1"/>
    <col min="5" max="5" width="11.5" bestFit="1" customWidth="1"/>
  </cols>
  <sheetData>
    <row r="1" spans="1:12" x14ac:dyDescent="0.2">
      <c r="A1" s="49" t="s">
        <v>278</v>
      </c>
      <c r="B1" s="49"/>
      <c r="C1" s="49"/>
      <c r="D1" s="49"/>
      <c r="E1" s="49"/>
      <c r="H1" t="s">
        <v>279</v>
      </c>
    </row>
    <row r="2" spans="1:12" ht="16" x14ac:dyDescent="0.2">
      <c r="A2" s="20" t="s">
        <v>19</v>
      </c>
      <c r="B2" s="20" t="s">
        <v>20</v>
      </c>
      <c r="C2" s="20" t="s">
        <v>21</v>
      </c>
      <c r="D2" s="20" t="s">
        <v>22</v>
      </c>
      <c r="E2" s="20" t="s">
        <v>23</v>
      </c>
      <c r="H2" s="48" t="s">
        <v>280</v>
      </c>
      <c r="I2" s="48" t="s">
        <v>281</v>
      </c>
      <c r="J2" s="48" t="s">
        <v>282</v>
      </c>
      <c r="K2" s="48" t="s">
        <v>24</v>
      </c>
    </row>
    <row r="3" spans="1:12" x14ac:dyDescent="0.2">
      <c r="A3" s="50">
        <v>18.399999999999999</v>
      </c>
      <c r="B3" s="51">
        <v>18.899999999999999</v>
      </c>
      <c r="C3" s="51">
        <v>18.899999999999999</v>
      </c>
      <c r="D3" s="51">
        <v>18.899999999999999</v>
      </c>
      <c r="E3" s="52">
        <f>ROUND(K5,1)</f>
        <v>20.100000000000001</v>
      </c>
      <c r="H3" s="18">
        <v>3130</v>
      </c>
      <c r="I3" s="18">
        <v>5163</v>
      </c>
      <c r="J3" s="18">
        <v>4694</v>
      </c>
      <c r="K3">
        <f>SUM(H3:J3)</f>
        <v>12987</v>
      </c>
      <c r="L3" t="s">
        <v>283</v>
      </c>
    </row>
    <row r="4" spans="1:12" x14ac:dyDescent="0.2">
      <c r="A4" s="50">
        <v>27</v>
      </c>
      <c r="B4" s="51">
        <v>27</v>
      </c>
      <c r="C4" s="51">
        <v>27</v>
      </c>
      <c r="D4" s="51">
        <v>27</v>
      </c>
      <c r="E4" s="52">
        <v>27</v>
      </c>
      <c r="H4" s="53">
        <f>H3/$K3</f>
        <v>0.24101024101024102</v>
      </c>
      <c r="I4" s="53">
        <f t="shared" ref="I4:K4" si="0">I3/$K3</f>
        <v>0.39755139755139757</v>
      </c>
      <c r="J4" s="53">
        <f t="shared" si="0"/>
        <v>0.36143836143836144</v>
      </c>
      <c r="K4" s="53">
        <f t="shared" si="0"/>
        <v>1</v>
      </c>
      <c r="L4" t="s">
        <v>284</v>
      </c>
    </row>
    <row r="5" spans="1:12" x14ac:dyDescent="0.2">
      <c r="H5">
        <v>14.3</v>
      </c>
      <c r="I5">
        <v>21.4</v>
      </c>
      <c r="J5">
        <v>22.6</v>
      </c>
      <c r="K5" s="54">
        <f>H5*H4+I5*I4+J5*J4</f>
        <v>20.122553322553323</v>
      </c>
      <c r="L5" t="s">
        <v>285</v>
      </c>
    </row>
    <row r="6" spans="1:12" x14ac:dyDescent="0.2">
      <c r="H6">
        <v>21</v>
      </c>
      <c r="I6">
        <v>27</v>
      </c>
      <c r="J6">
        <v>29</v>
      </c>
      <c r="K6">
        <f>H6*H4+I6*I4+J6*J4</f>
        <v>26.276815276815277</v>
      </c>
      <c r="L6" t="s">
        <v>286</v>
      </c>
    </row>
    <row r="9" spans="1:12" x14ac:dyDescent="0.2">
      <c r="H9" s="18">
        <v>3130</v>
      </c>
      <c r="I9" s="18">
        <v>5163</v>
      </c>
      <c r="J9" s="18">
        <v>4694</v>
      </c>
    </row>
    <row r="13" spans="1:12" x14ac:dyDescent="0.2">
      <c r="H13" t="s">
        <v>287</v>
      </c>
      <c r="I13" t="s">
        <v>288</v>
      </c>
      <c r="J13" t="s">
        <v>289</v>
      </c>
      <c r="K13" t="s">
        <v>290</v>
      </c>
    </row>
    <row r="14" spans="1:12" x14ac:dyDescent="0.2">
      <c r="H14">
        <v>1</v>
      </c>
      <c r="I14">
        <v>402</v>
      </c>
      <c r="J14">
        <v>3731</v>
      </c>
      <c r="K14">
        <f>J14/I14</f>
        <v>9.2810945273631837</v>
      </c>
    </row>
    <row r="15" spans="1:12" x14ac:dyDescent="0.2">
      <c r="H15">
        <v>2</v>
      </c>
      <c r="I15">
        <v>403</v>
      </c>
      <c r="J15">
        <v>3805</v>
      </c>
      <c r="K15">
        <f t="shared" ref="K15:K24" si="1">J15/I15</f>
        <v>9.4416873449131522</v>
      </c>
    </row>
    <row r="16" spans="1:12" x14ac:dyDescent="0.2">
      <c r="H16">
        <v>3</v>
      </c>
      <c r="I16">
        <v>230</v>
      </c>
      <c r="J16">
        <v>3683</v>
      </c>
      <c r="K16">
        <f t="shared" si="1"/>
        <v>16.013043478260869</v>
      </c>
    </row>
    <row r="17" spans="1:11" x14ac:dyDescent="0.2">
      <c r="H17">
        <v>4</v>
      </c>
      <c r="I17">
        <v>229</v>
      </c>
      <c r="J17">
        <v>3823</v>
      </c>
      <c r="K17">
        <f t="shared" si="1"/>
        <v>16.694323144104803</v>
      </c>
    </row>
    <row r="18" spans="1:11" x14ac:dyDescent="0.2">
      <c r="A18" s="33" t="s">
        <v>291</v>
      </c>
      <c r="B18" s="41"/>
      <c r="C18" s="41"/>
      <c r="D18" s="41"/>
      <c r="E18" s="41"/>
      <c r="F18" s="34"/>
      <c r="H18">
        <v>5</v>
      </c>
      <c r="I18">
        <v>217</v>
      </c>
      <c r="J18">
        <v>3696</v>
      </c>
      <c r="K18">
        <f t="shared" si="1"/>
        <v>17.032258064516128</v>
      </c>
    </row>
    <row r="19" spans="1:11" ht="48" x14ac:dyDescent="0.2">
      <c r="A19" s="28"/>
      <c r="B19" s="35" t="s">
        <v>292</v>
      </c>
      <c r="C19" s="35" t="s">
        <v>293</v>
      </c>
      <c r="D19" s="35" t="s">
        <v>294</v>
      </c>
      <c r="E19" s="35" t="s">
        <v>295</v>
      </c>
      <c r="F19" s="36" t="s">
        <v>296</v>
      </c>
      <c r="H19">
        <v>6</v>
      </c>
      <c r="I19">
        <v>217</v>
      </c>
      <c r="J19">
        <v>3645</v>
      </c>
      <c r="K19">
        <f t="shared" si="1"/>
        <v>16.797235023041473</v>
      </c>
    </row>
    <row r="20" spans="1:11" x14ac:dyDescent="0.2">
      <c r="A20" s="30" t="s">
        <v>297</v>
      </c>
      <c r="B20" s="37">
        <v>0</v>
      </c>
      <c r="C20" s="37">
        <v>0</v>
      </c>
      <c r="D20" s="37">
        <v>0</v>
      </c>
      <c r="E20" s="37">
        <v>0.33</v>
      </c>
      <c r="F20" s="38">
        <v>0</v>
      </c>
      <c r="H20">
        <v>7</v>
      </c>
      <c r="I20">
        <v>221</v>
      </c>
      <c r="J20">
        <v>3587</v>
      </c>
      <c r="K20">
        <f t="shared" si="1"/>
        <v>16.23076923076923</v>
      </c>
    </row>
    <row r="21" spans="1:11" x14ac:dyDescent="0.2">
      <c r="A21" s="30" t="s">
        <v>298</v>
      </c>
      <c r="B21" s="37">
        <v>0.5</v>
      </c>
      <c r="C21" s="37"/>
      <c r="D21" s="37">
        <v>0</v>
      </c>
      <c r="E21" s="37"/>
      <c r="F21" s="38">
        <v>0.2</v>
      </c>
      <c r="H21">
        <v>8</v>
      </c>
      <c r="I21">
        <v>208</v>
      </c>
      <c r="J21">
        <v>3528</v>
      </c>
      <c r="K21">
        <f t="shared" si="1"/>
        <v>16.96153846153846</v>
      </c>
    </row>
    <row r="22" spans="1:11" x14ac:dyDescent="0.2">
      <c r="A22" s="30" t="s">
        <v>299</v>
      </c>
      <c r="B22" s="37">
        <v>0.5</v>
      </c>
      <c r="C22" s="37">
        <v>1</v>
      </c>
      <c r="D22" s="37">
        <v>1</v>
      </c>
      <c r="E22" s="37">
        <v>0.33</v>
      </c>
      <c r="F22" s="38">
        <v>0.4</v>
      </c>
      <c r="H22">
        <v>9</v>
      </c>
      <c r="I22">
        <v>239</v>
      </c>
      <c r="J22">
        <v>4322</v>
      </c>
      <c r="K22">
        <f t="shared" si="1"/>
        <v>18.0836820083682</v>
      </c>
    </row>
    <row r="23" spans="1:11" x14ac:dyDescent="0.2">
      <c r="A23" s="30" t="s">
        <v>300</v>
      </c>
      <c r="B23" s="37">
        <v>0</v>
      </c>
      <c r="C23" s="37">
        <v>0</v>
      </c>
      <c r="D23" s="37">
        <v>0</v>
      </c>
      <c r="E23" s="37">
        <v>0</v>
      </c>
      <c r="F23" s="38">
        <v>0.2</v>
      </c>
      <c r="H23">
        <v>10</v>
      </c>
      <c r="I23">
        <v>240</v>
      </c>
      <c r="J23">
        <v>4429</v>
      </c>
      <c r="K23">
        <f t="shared" si="1"/>
        <v>18.454166666666666</v>
      </c>
    </row>
    <row r="24" spans="1:11" x14ac:dyDescent="0.2">
      <c r="A24" s="32"/>
      <c r="B24" s="39">
        <f t="shared" ref="B24:F24" si="2">SUM(B20:B23)</f>
        <v>1</v>
      </c>
      <c r="C24" s="39">
        <f t="shared" si="2"/>
        <v>1</v>
      </c>
      <c r="D24" s="39">
        <f t="shared" si="2"/>
        <v>1</v>
      </c>
      <c r="E24" s="39">
        <f t="shared" si="2"/>
        <v>0.66</v>
      </c>
      <c r="F24" s="40">
        <f t="shared" si="2"/>
        <v>0.8</v>
      </c>
      <c r="H24">
        <v>11</v>
      </c>
      <c r="I24">
        <v>245</v>
      </c>
      <c r="J24">
        <v>4534</v>
      </c>
      <c r="K24">
        <f t="shared" si="1"/>
        <v>18.506122448979593</v>
      </c>
    </row>
    <row r="26" spans="1:11" x14ac:dyDescent="0.2">
      <c r="A26" s="43" t="s">
        <v>301</v>
      </c>
      <c r="B26" s="44" t="s">
        <v>302</v>
      </c>
      <c r="C26" t="s">
        <v>303</v>
      </c>
    </row>
    <row r="27" spans="1:11" x14ac:dyDescent="0.2">
      <c r="A27" s="46" t="s">
        <v>304</v>
      </c>
      <c r="B27" s="31">
        <v>1800</v>
      </c>
      <c r="C27" s="5" t="s">
        <v>305</v>
      </c>
    </row>
    <row r="28" spans="1:11" x14ac:dyDescent="0.2">
      <c r="A28" s="46" t="s">
        <v>306</v>
      </c>
      <c r="B28" s="31">
        <v>2000</v>
      </c>
      <c r="C28" s="5" t="s">
        <v>307</v>
      </c>
    </row>
    <row r="29" spans="1:11" x14ac:dyDescent="0.2">
      <c r="A29" s="46" t="s">
        <v>308</v>
      </c>
      <c r="B29" s="31">
        <v>900</v>
      </c>
      <c r="C29" s="5" t="s">
        <v>309</v>
      </c>
      <c r="H29" s="5" t="s">
        <v>310</v>
      </c>
    </row>
    <row r="30" spans="1:11" x14ac:dyDescent="0.2">
      <c r="A30" s="45" t="s">
        <v>311</v>
      </c>
      <c r="B30" s="29">
        <v>1000</v>
      </c>
      <c r="C30" s="5" t="s">
        <v>312</v>
      </c>
    </row>
    <row r="31" spans="1:11" x14ac:dyDescent="0.2">
      <c r="A31" s="45" t="s">
        <v>313</v>
      </c>
      <c r="B31" s="29">
        <v>1500</v>
      </c>
    </row>
    <row r="33" spans="1:7" x14ac:dyDescent="0.2">
      <c r="A33" s="24" t="s">
        <v>314</v>
      </c>
      <c r="B33" s="25"/>
      <c r="C33" s="25"/>
      <c r="D33" s="25"/>
      <c r="E33" s="25"/>
    </row>
    <row r="34" spans="1:7" x14ac:dyDescent="0.2">
      <c r="A34" s="26"/>
      <c r="B34" s="27" t="s">
        <v>315</v>
      </c>
      <c r="C34" s="27" t="s">
        <v>316</v>
      </c>
      <c r="D34" s="27" t="s">
        <v>317</v>
      </c>
      <c r="E34" s="27" t="s">
        <v>318</v>
      </c>
    </row>
    <row r="35" spans="1:7" x14ac:dyDescent="0.2">
      <c r="A35" s="25" t="s">
        <v>297</v>
      </c>
      <c r="B35" s="25">
        <v>3</v>
      </c>
      <c r="C35" s="25">
        <v>15</v>
      </c>
      <c r="D35" s="25">
        <v>0.1</v>
      </c>
      <c r="E35" s="25">
        <v>0.1</v>
      </c>
    </row>
    <row r="36" spans="1:7" x14ac:dyDescent="0.2">
      <c r="A36" s="25" t="s">
        <v>298</v>
      </c>
      <c r="B36" s="25">
        <v>1.5</v>
      </c>
      <c r="C36" s="25">
        <v>3</v>
      </c>
      <c r="D36" s="25">
        <v>0.1</v>
      </c>
      <c r="E36" s="25">
        <v>0.1</v>
      </c>
    </row>
    <row r="37" spans="1:7" x14ac:dyDescent="0.2">
      <c r="A37" s="25" t="s">
        <v>299</v>
      </c>
      <c r="B37" s="25">
        <v>1</v>
      </c>
      <c r="C37" s="25">
        <v>2</v>
      </c>
      <c r="D37" s="25">
        <v>0.1</v>
      </c>
      <c r="E37" s="25">
        <v>0.1</v>
      </c>
    </row>
    <row r="38" spans="1:7" x14ac:dyDescent="0.2">
      <c r="A38" s="25" t="s">
        <v>300</v>
      </c>
      <c r="B38" s="25">
        <v>1</v>
      </c>
      <c r="C38" s="25">
        <v>4</v>
      </c>
      <c r="D38" s="25">
        <v>0.15</v>
      </c>
      <c r="E38" s="25">
        <v>2.5</v>
      </c>
    </row>
    <row r="41" spans="1:7" x14ac:dyDescent="0.2">
      <c r="A41" s="21" t="s">
        <v>319</v>
      </c>
      <c r="B41" s="4"/>
      <c r="C41" s="4"/>
      <c r="D41" s="4"/>
      <c r="E41" s="4"/>
    </row>
    <row r="42" spans="1:7" x14ac:dyDescent="0.2">
      <c r="A42" s="42"/>
      <c r="B42" s="42" t="s">
        <v>315</v>
      </c>
      <c r="C42" s="42" t="s">
        <v>316</v>
      </c>
      <c r="D42" s="42" t="s">
        <v>317</v>
      </c>
      <c r="E42" s="42" t="s">
        <v>320</v>
      </c>
    </row>
    <row r="43" spans="1:7" x14ac:dyDescent="0.2">
      <c r="A43" s="4" t="s">
        <v>321</v>
      </c>
      <c r="B43" s="23">
        <f>(B35*$B20+B36*$B21+B37*$B22+B38*$B23)</f>
        <v>1.25</v>
      </c>
      <c r="C43" s="23">
        <f>(C35*$B20+C36*$B21+C37*$B22+C38*$B23)</f>
        <v>2.5</v>
      </c>
      <c r="D43" s="23">
        <f>(D35*$B20+D36*$B21+D37*$B22+D38*$B23)</f>
        <v>0.1</v>
      </c>
      <c r="E43" s="23">
        <f>(E35*$B20+E36*$B21+E37*$B22+E38*$B23)</f>
        <v>0.1</v>
      </c>
    </row>
    <row r="44" spans="1:7" x14ac:dyDescent="0.2">
      <c r="A44" s="4" t="s">
        <v>322</v>
      </c>
      <c r="B44" s="23">
        <f>(B$35*$C$20+B$36*$C$21+B$37*$C$22+B$38*$C$23)</f>
        <v>1</v>
      </c>
      <c r="C44" s="23">
        <f>(C$35*$C$20+C$36*$C$21+C$37*$C$22+C$38*$C$23)</f>
        <v>2</v>
      </c>
      <c r="D44" s="23">
        <f>(D$35*$C$20+D$36*$C$21+D$37*$C$22+D$38*$C$23)</f>
        <v>0.1</v>
      </c>
      <c r="E44" s="23">
        <f>(E$35*$C$20+E$36*$C$21+E$37*$C$22+E$38*$C$23)</f>
        <v>0.1</v>
      </c>
      <c r="G44" s="19">
        <f>INDEX(BW_ELE_9_11H,1,2)</f>
        <v>2</v>
      </c>
    </row>
    <row r="45" spans="1:7" x14ac:dyDescent="0.2">
      <c r="A45" s="4" t="s">
        <v>323</v>
      </c>
      <c r="B45" s="23">
        <f>(B$35*$D$20+B$36*$D$21+B$37*$D$22+B$38*$D$23)</f>
        <v>1</v>
      </c>
      <c r="C45" s="23">
        <f>(C$35*$D$20+C$36*$D$21+C$37*$D$22+C$38*$D$23)</f>
        <v>2</v>
      </c>
      <c r="D45" s="23">
        <f>(D$35*$D$20+D$36*$D$21+D$37*$D$22+D$38*$D$23)</f>
        <v>0.1</v>
      </c>
      <c r="E45" s="23">
        <f>(E$35*$D$20+E$36*$D$21+E$37*$D$22+E$38*$D$23)</f>
        <v>0.1</v>
      </c>
      <c r="G45" s="19"/>
    </row>
    <row r="46" spans="1:7" x14ac:dyDescent="0.2">
      <c r="A46" s="4" t="s">
        <v>324</v>
      </c>
      <c r="B46" s="23">
        <f>ROUND(B35*$E20+B36*$E21+B37*$E22+B38*$E23,1)</f>
        <v>1.3</v>
      </c>
      <c r="C46" s="23">
        <f>ROUND(C35*$E20+C36*$E21+C37*$E22+C38*$E23,1)</f>
        <v>5.6</v>
      </c>
      <c r="D46" s="23">
        <f>ROUND(D35*$E20+D36*$E21+D37*$E22+D38*$E23,1)</f>
        <v>0.1</v>
      </c>
      <c r="E46" s="23">
        <f>ROUND(E35*$E20+E36*$E21+E37*$E22+E38*$E23,1)</f>
        <v>0.1</v>
      </c>
    </row>
    <row r="47" spans="1:7" x14ac:dyDescent="0.2">
      <c r="A47" s="4" t="s">
        <v>325</v>
      </c>
      <c r="B47" s="23">
        <f>ROUND(B35*$F20+B36*$F21+B37*$F22+B38*$F23,1)</f>
        <v>0.9</v>
      </c>
      <c r="C47" s="23">
        <f>ROUND(C35*$F20+C36*$F21+C37*$F22+C38*$F23,1)</f>
        <v>2.2000000000000002</v>
      </c>
      <c r="D47" s="23">
        <f>ROUND(D35*$F20+D36*$F21+D37*$F22+D38*$F23,1)</f>
        <v>0.1</v>
      </c>
      <c r="E47" s="23">
        <f>ROUND(E35*$F20+E36*$F21+E37*$F22+E38*$F23,1)</f>
        <v>0.6</v>
      </c>
    </row>
    <row r="49" spans="1:5" x14ac:dyDescent="0.2">
      <c r="B49" s="19"/>
      <c r="C49" s="19"/>
      <c r="D49" s="19"/>
      <c r="E49" s="19"/>
    </row>
    <row r="50" spans="1:5" x14ac:dyDescent="0.2">
      <c r="A50" s="21" t="s">
        <v>326</v>
      </c>
    </row>
    <row r="51" spans="1:5" x14ac:dyDescent="0.2">
      <c r="A51" s="4" t="s">
        <v>128</v>
      </c>
    </row>
    <row r="52" spans="1:5" x14ac:dyDescent="0.2">
      <c r="A52" s="4" t="s">
        <v>60</v>
      </c>
    </row>
    <row r="53" spans="1:5" x14ac:dyDescent="0.2">
      <c r="A53" s="4" t="s">
        <v>327</v>
      </c>
    </row>
    <row r="54" spans="1:5" x14ac:dyDescent="0.2">
      <c r="A54" s="4" t="s">
        <v>328</v>
      </c>
    </row>
    <row r="55" spans="1:5" x14ac:dyDescent="0.2">
      <c r="A55" s="4" t="s">
        <v>329</v>
      </c>
    </row>
  </sheetData>
  <customSheetViews>
    <customSheetView guid="{2F7F83DD-5603-CE40-9872-ABF624ECE237}" scale="140">
      <selection activeCell="A26" sqref="A26:B32"/>
      <pageMargins left="0" right="0" top="0" bottom="0" header="0" footer="0"/>
      <pageSetup paperSize="9" orientation="portrait" horizontalDpi="0" verticalDpi="0"/>
    </customSheetView>
    <customSheetView guid="{D932F249-B54E-D54C-B8F4-0256603E93D7}" scale="140">
      <selection activeCell="A26" sqref="A26:B32"/>
      <pageMargins left="0" right="0" top="0" bottom="0" header="0" footer="0"/>
      <pageSetup paperSize="9" orientation="portrait" horizontalDpi="0" verticalDpi="0"/>
    </customSheetView>
  </customSheetViews>
  <hyperlinks>
    <hyperlink ref="C30" r:id="rId1" display="https://www.bechtle.com/ch-fr/shop/chariot-charge-dicota-14-tablettes-plus--4809683--p" xr:uid="{D6192A0C-4982-6247-84B9-B3C4AF47C268}"/>
    <hyperlink ref="C27" r:id="rId2" display="https://www.dicota.com/euro_en/ladetrolley-fur-14-laptops-ch.html" xr:uid="{4A643622-B453-B74F-990B-7BE924774DD2}"/>
    <hyperlink ref="C28" r:id="rId3" display="https://www.dicota.com/euro_en/ladetrolley-fur-20-tablets-oder-ultrabooks-ch.html" xr:uid="{7F63322C-1408-B148-B319-4CB1B727A014}"/>
    <hyperlink ref="H29" r:id="rId4" display="https://www.digitec.ch/fr/s1/producttype/chariot-pour-notebook-3727?filter=23210%3D1386502&amp;so=5&amp;tagIds=614-653" xr:uid="{061BD66F-06B9-5D43-BA1D-E2726DC984E5}"/>
    <hyperlink ref="C29" r:id="rId5" display="https://www.bechtle.com/ch-fr/shop/compulocks-cartipad-solo-16-appareils--4462053--p" xr:uid="{17CEE61F-B4E0-2E48-997F-B3AC9C5BF4D2}"/>
  </hyperlinks>
  <pageMargins left="0.7" right="0.7" top="0.75" bottom="0.75" header="0.3" footer="0.3"/>
  <pageSetup paperSize="9" orientation="portrait" horizontalDpi="0" verticalDpi="0"/>
  <legacy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7C2D6-DFA9-7B42-BEF8-7067DC7BC686}">
  <sheetPr>
    <tabColor theme="5"/>
  </sheetPr>
  <dimension ref="A3:B23"/>
  <sheetViews>
    <sheetView zoomScale="120" zoomScaleNormal="120" workbookViewId="0">
      <selection activeCell="A6" sqref="A6"/>
    </sheetView>
  </sheetViews>
  <sheetFormatPr baseColWidth="10" defaultColWidth="11.5" defaultRowHeight="15" x14ac:dyDescent="0.2"/>
  <sheetData>
    <row r="3" spans="1:2" ht="19" x14ac:dyDescent="0.25">
      <c r="A3" s="22" t="s">
        <v>330</v>
      </c>
    </row>
    <row r="4" spans="1:2" x14ac:dyDescent="0.2">
      <c r="A4" t="s">
        <v>331</v>
      </c>
    </row>
    <row r="5" spans="1:2" x14ac:dyDescent="0.2">
      <c r="A5" s="47" t="s">
        <v>332</v>
      </c>
      <c r="B5" t="s">
        <v>333</v>
      </c>
    </row>
    <row r="6" spans="1:2" x14ac:dyDescent="0.2">
      <c r="A6" t="s">
        <v>334</v>
      </c>
    </row>
    <row r="7" spans="1:2" x14ac:dyDescent="0.2">
      <c r="A7" s="47" t="s">
        <v>335</v>
      </c>
    </row>
    <row r="8" spans="1:2" x14ac:dyDescent="0.2">
      <c r="A8" t="s">
        <v>336</v>
      </c>
    </row>
    <row r="9" spans="1:2" x14ac:dyDescent="0.2">
      <c r="A9" s="47" t="s">
        <v>335</v>
      </c>
    </row>
    <row r="10" spans="1:2" x14ac:dyDescent="0.2">
      <c r="A10" t="s">
        <v>337</v>
      </c>
    </row>
    <row r="11" spans="1:2" x14ac:dyDescent="0.2">
      <c r="A11" s="47" t="s">
        <v>335</v>
      </c>
    </row>
    <row r="14" spans="1:2" ht="19" x14ac:dyDescent="0.25">
      <c r="A14" s="22" t="s">
        <v>338</v>
      </c>
    </row>
    <row r="15" spans="1:2" x14ac:dyDescent="0.2">
      <c r="B15" t="s">
        <v>339</v>
      </c>
    </row>
    <row r="16" spans="1:2" x14ac:dyDescent="0.2">
      <c r="B16" s="92" t="s">
        <v>340</v>
      </c>
    </row>
    <row r="17" spans="1:2" x14ac:dyDescent="0.2">
      <c r="B17" s="92" t="s">
        <v>341</v>
      </c>
    </row>
    <row r="18" spans="1:2" x14ac:dyDescent="0.2">
      <c r="B18" s="92" t="s">
        <v>342</v>
      </c>
    </row>
    <row r="19" spans="1:2" x14ac:dyDescent="0.2">
      <c r="B19" s="92" t="s">
        <v>343</v>
      </c>
    </row>
    <row r="22" spans="1:2" ht="19" x14ac:dyDescent="0.25">
      <c r="A22" s="22" t="s">
        <v>344</v>
      </c>
    </row>
    <row r="23" spans="1:2" x14ac:dyDescent="0.2">
      <c r="A23" s="92" t="s">
        <v>345</v>
      </c>
    </row>
  </sheetData>
  <customSheetViews>
    <customSheetView guid="{2F7F83DD-5603-CE40-9872-ABF624ECE237}" scale="120">
      <selection activeCell="A8" sqref="A8"/>
      <pageMargins left="0" right="0" top="0" bottom="0" header="0" footer="0"/>
      <pageSetup paperSize="9" orientation="portrait" horizontalDpi="0" verticalDpi="0"/>
    </customSheetView>
    <customSheetView guid="{D932F249-B54E-D54C-B8F4-0256603E93D7}" scale="120">
      <selection activeCell="A8" sqref="A8"/>
      <pageMargins left="0" right="0" top="0" bottom="0" header="0" footer="0"/>
      <pageSetup paperSize="9" orientation="portrait" horizontalDpi="0" verticalDpi="0"/>
    </customSheetView>
  </customSheetViews>
  <pageMargins left="0.7" right="0.7" top="0.75" bottom="0.75" header="0.3" footer="0.3"/>
  <pageSetup paperSize="9" orientation="portrait" horizontalDpi="0" verticalDpi="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196fa9d-606b-48fb-b098-ef81019cdd90">
      <UserInfo>
        <DisplayName>Bersier Christian</DisplayName>
        <AccountId>459</AccountId>
        <AccountType/>
      </UserInfo>
      <UserInfo>
        <DisplayName>Froidevaux Philippe</DisplayName>
        <AccountId>14</AccountId>
        <AccountType/>
      </UserInfo>
      <UserInfo>
        <DisplayName>Bex Thierry</DisplayName>
        <AccountId>384</AccountId>
        <AccountType/>
      </UserInfo>
    </SharedWithUsers>
    <lcf76f155ced4ddcb4097134ff3c332f xmlns="bdc6ecf8-0eaa-4660-a888-9f415e2496e4">
      <Terms xmlns="http://schemas.microsoft.com/office/infopath/2007/PartnerControls"/>
    </lcf76f155ced4ddcb4097134ff3c332f>
    <TaxCatchAll xmlns="e196fa9d-606b-48fb-b098-ef81019cdd90" xsi:nil="true"/>
    <Teachers xmlns="bdc6ecf8-0eaa-4660-a888-9f415e2496e4">
      <UserInfo>
        <DisplayName/>
        <AccountId xsi:nil="true"/>
        <AccountType/>
      </UserInfo>
    </Teachers>
    <Student_Groups xmlns="bdc6ecf8-0eaa-4660-a888-9f415e2496e4">
      <UserInfo>
        <DisplayName/>
        <AccountId xsi:nil="true"/>
        <AccountType/>
      </UserInfo>
    </Student_Groups>
    <Distribution_Groups xmlns="bdc6ecf8-0eaa-4660-a888-9f415e2496e4" xsi:nil="true"/>
    <Self_Registration_Enabled xmlns="bdc6ecf8-0eaa-4660-a888-9f415e2496e4" xsi:nil="true"/>
    <TeamsChannelId xmlns="bdc6ecf8-0eaa-4660-a888-9f415e2496e4" xsi:nil="true"/>
    <Invited_Teachers xmlns="bdc6ecf8-0eaa-4660-a888-9f415e2496e4" xsi:nil="true"/>
    <IsNotebookLocked xmlns="bdc6ecf8-0eaa-4660-a888-9f415e2496e4" xsi:nil="true"/>
    <NotebookType xmlns="bdc6ecf8-0eaa-4660-a888-9f415e2496e4" xsi:nil="true"/>
    <Students xmlns="bdc6ecf8-0eaa-4660-a888-9f415e2496e4">
      <UserInfo>
        <DisplayName/>
        <AccountId xsi:nil="true"/>
        <AccountType/>
      </UserInfo>
    </Students>
    <Has_Teacher_Only_SectionGroup xmlns="bdc6ecf8-0eaa-4660-a888-9f415e2496e4" xsi:nil="true"/>
    <DefaultSectionNames xmlns="bdc6ecf8-0eaa-4660-a888-9f415e2496e4" xsi:nil="true"/>
    <Is_Collaboration_Space_Locked xmlns="bdc6ecf8-0eaa-4660-a888-9f415e2496e4" xsi:nil="true"/>
    <Teams_Channel_Section_Location xmlns="bdc6ecf8-0eaa-4660-a888-9f415e2496e4" xsi:nil="true"/>
    <FolderType xmlns="bdc6ecf8-0eaa-4660-a888-9f415e2496e4" xsi:nil="true"/>
    <CultureName xmlns="bdc6ecf8-0eaa-4660-a888-9f415e2496e4" xsi:nil="true"/>
    <Owner xmlns="bdc6ecf8-0eaa-4660-a888-9f415e2496e4">
      <UserInfo>
        <DisplayName/>
        <AccountId xsi:nil="true"/>
        <AccountType/>
      </UserInfo>
    </Owner>
    <LMS_Mappings xmlns="bdc6ecf8-0eaa-4660-a888-9f415e2496e4" xsi:nil="true"/>
    <Invited_Students xmlns="bdc6ecf8-0eaa-4660-a888-9f415e2496e4" xsi:nil="true"/>
    <Math_Settings xmlns="bdc6ecf8-0eaa-4660-a888-9f415e2496e4" xsi:nil="true"/>
    <Templates xmlns="bdc6ecf8-0eaa-4660-a888-9f415e2496e4" xsi:nil="true"/>
    <AppVersion xmlns="bdc6ecf8-0eaa-4660-a888-9f415e2496e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C8FBCADA357BE479BFD7C8908B66D3D" ma:contentTypeVersion="39" ma:contentTypeDescription="Crée un document." ma:contentTypeScope="" ma:versionID="462de65af5653c09e98e39c9af155be6">
  <xsd:schema xmlns:xsd="http://www.w3.org/2001/XMLSchema" xmlns:xs="http://www.w3.org/2001/XMLSchema" xmlns:p="http://schemas.microsoft.com/office/2006/metadata/properties" xmlns:ns2="bdc6ecf8-0eaa-4660-a888-9f415e2496e4" xmlns:ns3="e196fa9d-606b-48fb-b098-ef81019cdd90" targetNamespace="http://schemas.microsoft.com/office/2006/metadata/properties" ma:root="true" ma:fieldsID="3f9c1f9a4e12cb3848449d609fd11e43" ns2:_="" ns3:_="">
    <xsd:import namespace="bdc6ecf8-0eaa-4660-a888-9f415e2496e4"/>
    <xsd:import namespace="e196fa9d-606b-48fb-b098-ef81019cdd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Teachers" minOccurs="0"/>
                <xsd:element ref="ns2:Students" minOccurs="0"/>
                <xsd:element ref="ns2:Student_Groups" minOccurs="0"/>
                <xsd:element ref="ns2:Distribution_Groups" minOccurs="0"/>
                <xsd:element ref="ns2:LMS_Mappings" minOccurs="0"/>
                <xsd:element ref="ns2:Invited_Teachers" minOccurs="0"/>
                <xsd:element ref="ns2:Invited_Students" minOccurs="0"/>
                <xsd:element ref="ns2:Self_Registration_Enabled" minOccurs="0"/>
                <xsd:element ref="ns2:Has_Teacher_Only_SectionGroup" minOccurs="0"/>
                <xsd:element ref="ns2:Is_Collaboration_Space_Locked" minOccurs="0"/>
                <xsd:element ref="ns2:IsNotebookLocked" minOccurs="0"/>
                <xsd:element ref="ns2:Teams_Channel_Section_Location"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c6ecf8-0eaa-4660-a888-9f415e2496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fbd933d8-63e4-4f7e-90f6-66429bb13b47" ma:termSetId="09814cd3-568e-fe90-9814-8d621ff8fb84" ma:anchorId="fba54fb3-c3e1-fe81-a776-ca4b69148c4d" ma:open="true" ma:isKeyword="false">
      <xsd:complexType>
        <xsd:sequence>
          <xsd:element ref="pc:Terms" minOccurs="0" maxOccurs="1"/>
        </xsd:sequence>
      </xsd:complexType>
    </xsd:element>
    <xsd:element name="NotebookType" ma:index="23" nillable="true" ma:displayName="Notebook Type" ma:internalName="NotebookType">
      <xsd:simpleType>
        <xsd:restriction base="dms:Text"/>
      </xsd:simpleType>
    </xsd:element>
    <xsd:element name="FolderType" ma:index="24" nillable="true" ma:displayName="Folder Type" ma:internalName="FolderType">
      <xsd:simpleType>
        <xsd:restriction base="dms:Text"/>
      </xsd:simpleType>
    </xsd:element>
    <xsd:element name="CultureName" ma:index="25" nillable="true" ma:displayName="Culture Name" ma:internalName="CultureName">
      <xsd:simpleType>
        <xsd:restriction base="dms:Text"/>
      </xsd:simpleType>
    </xsd:element>
    <xsd:element name="AppVersion" ma:index="26" nillable="true" ma:displayName="App Version" ma:internalName="AppVersion">
      <xsd:simpleType>
        <xsd:restriction base="dms:Text"/>
      </xsd:simpleType>
    </xsd:element>
    <xsd:element name="TeamsChannelId" ma:index="27" nillable="true" ma:displayName="Teams Channel Id" ma:internalName="TeamsChannelId">
      <xsd:simpleType>
        <xsd:restriction base="dms:Text"/>
      </xsd:simpleType>
    </xsd:element>
    <xsd:element name="Owner" ma:index="28"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29" nillable="true" ma:displayName="Math Settings" ma:internalName="Math_Settings">
      <xsd:simpleType>
        <xsd:restriction base="dms:Text"/>
      </xsd:simpleType>
    </xsd:element>
    <xsd:element name="DefaultSectionNames" ma:index="30" nillable="true" ma:displayName="Default Section Names" ma:internalName="DefaultSectionNames">
      <xsd:simpleType>
        <xsd:restriction base="dms:Note">
          <xsd:maxLength value="255"/>
        </xsd:restriction>
      </xsd:simpleType>
    </xsd:element>
    <xsd:element name="Templates" ma:index="31" nillable="true" ma:displayName="Templates" ma:internalName="Templates">
      <xsd:simpleType>
        <xsd:restriction base="dms:Note">
          <xsd:maxLength value="255"/>
        </xsd:restriction>
      </xsd:simpleType>
    </xsd:element>
    <xsd:element name="Teachers" ma:index="32" nillable="true" ma:displayName="Teachers" ma:internalName="Teach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s" ma:index="33" nillable="true" ma:displayName="Students" ma:internalName="Student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_Groups" ma:index="34" nillable="true" ma:displayName="Student Groups" ma:internalName="Student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35" nillable="true" ma:displayName="Distribution Groups" ma:internalName="Distribution_Groups">
      <xsd:simpleType>
        <xsd:restriction base="dms:Note">
          <xsd:maxLength value="255"/>
        </xsd:restriction>
      </xsd:simpleType>
    </xsd:element>
    <xsd:element name="LMS_Mappings" ma:index="36" nillable="true" ma:displayName="LMS Mappings" ma:internalName="LMS_Mappings">
      <xsd:simpleType>
        <xsd:restriction base="dms:Note">
          <xsd:maxLength value="255"/>
        </xsd:restriction>
      </xsd:simpleType>
    </xsd:element>
    <xsd:element name="Invited_Teachers" ma:index="37" nillable="true" ma:displayName="Invited Teachers" ma:internalName="Invited_Teachers">
      <xsd:simpleType>
        <xsd:restriction base="dms:Note">
          <xsd:maxLength value="255"/>
        </xsd:restriction>
      </xsd:simpleType>
    </xsd:element>
    <xsd:element name="Invited_Students" ma:index="38" nillable="true" ma:displayName="Invited Students" ma:internalName="Invited_Students">
      <xsd:simpleType>
        <xsd:restriction base="dms:Note">
          <xsd:maxLength value="255"/>
        </xsd:restriction>
      </xsd:simpleType>
    </xsd:element>
    <xsd:element name="Self_Registration_Enabled" ma:index="39" nillable="true" ma:displayName="Self Registration Enabled" ma:internalName="Self_Registration_Enabled">
      <xsd:simpleType>
        <xsd:restriction base="dms:Boolean"/>
      </xsd:simpleType>
    </xsd:element>
    <xsd:element name="Has_Teacher_Only_SectionGroup" ma:index="40" nillable="true" ma:displayName="Has Teacher Only SectionGroup" ma:internalName="Has_Teacher_Only_SectionGroup">
      <xsd:simpleType>
        <xsd:restriction base="dms:Boolean"/>
      </xsd:simpleType>
    </xsd:element>
    <xsd:element name="Is_Collaboration_Space_Locked" ma:index="41" nillable="true" ma:displayName="Is Collaboration Space Locked" ma:internalName="Is_Collaboration_Space_Locked">
      <xsd:simpleType>
        <xsd:restriction base="dms:Boolean"/>
      </xsd:simpleType>
    </xsd:element>
    <xsd:element name="IsNotebookLocked" ma:index="42" nillable="true" ma:displayName="Is Notebook Locked" ma:internalName="IsNotebookLocked">
      <xsd:simpleType>
        <xsd:restriction base="dms:Boolean"/>
      </xsd:simpleType>
    </xsd:element>
    <xsd:element name="Teams_Channel_Section_Location" ma:index="43" nillable="true" ma:displayName="Teams Channel Section Location" ma:internalName="Teams_Channel_Section_Location">
      <xsd:simpleType>
        <xsd:restriction base="dms:Text"/>
      </xsd:simpleType>
    </xsd:element>
    <xsd:element name="MediaServiceObjectDetectorVersions" ma:index="44" nillable="true" ma:displayName="MediaServiceObjectDetectorVersions" ma:hidden="true" ma:indexed="true" ma:internalName="MediaServiceObjectDetectorVersions" ma:readOnly="true">
      <xsd:simpleType>
        <xsd:restriction base="dms:Text"/>
      </xsd:simpleType>
    </xsd:element>
    <xsd:element name="MediaServiceSearchProperties" ma:index="45" nillable="true" ma:displayName="MediaServiceSearchProperties" ma:hidden="true" ma:internalName="MediaServiceSearchProperties" ma:readOnly="true">
      <xsd:simpleType>
        <xsd:restriction base="dms:Note"/>
      </xsd:simpleType>
    </xsd:element>
    <xsd:element name="MediaServiceLocation" ma:index="46"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96fa9d-606b-48fb-b098-ef81019cdd90"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TaxCatchAll" ma:index="22" nillable="true" ma:displayName="Taxonomy Catch All Column" ma:hidden="true" ma:list="{beec736c-672f-45af-89a6-defcc9eb5378}" ma:internalName="TaxCatchAll" ma:showField="CatchAllData" ma:web="e196fa9d-606b-48fb-b098-ef81019cdd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02C160-258C-41CB-B0C2-9B7A8AF1CBDA}">
  <ds:schemaRefs>
    <ds:schemaRef ds:uri="http://purl.org/dc/elements/1.1/"/>
    <ds:schemaRef ds:uri="http://schemas.microsoft.com/office/2006/metadata/properties"/>
    <ds:schemaRef ds:uri="http://purl.org/dc/dcmitype/"/>
    <ds:schemaRef ds:uri="http://schemas.microsoft.com/office/2006/documentManagement/types"/>
    <ds:schemaRef ds:uri="e196fa9d-606b-48fb-b098-ef81019cdd90"/>
    <ds:schemaRef ds:uri="http://purl.org/dc/terms/"/>
    <ds:schemaRef ds:uri="http://schemas.microsoft.com/office/infopath/2007/PartnerControls"/>
    <ds:schemaRef ds:uri="http://schemas.openxmlformats.org/package/2006/metadata/core-properties"/>
    <ds:schemaRef ds:uri="bdc6ecf8-0eaa-4660-a888-9f415e2496e4"/>
    <ds:schemaRef ds:uri="http://www.w3.org/XML/1998/namespace"/>
  </ds:schemaRefs>
</ds:datastoreItem>
</file>

<file path=customXml/itemProps2.xml><?xml version="1.0" encoding="utf-8"?>
<ds:datastoreItem xmlns:ds="http://schemas.openxmlformats.org/officeDocument/2006/customXml" ds:itemID="{D2F93D87-D08E-4341-9BD6-ECD48F877952}"/>
</file>

<file path=customXml/itemProps3.xml><?xml version="1.0" encoding="utf-8"?>
<ds:datastoreItem xmlns:ds="http://schemas.openxmlformats.org/officeDocument/2006/customXml" ds:itemID="{BB91B1BC-F9E2-49E2-8683-DF6C4F0F90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Feuilles de calcul</vt:lpstr>
      </vt:variant>
      <vt:variant>
        <vt:i4>7</vt:i4>
      </vt:variant>
      <vt:variant>
        <vt:lpstr>Plages nommées</vt:lpstr>
      </vt:variant>
      <vt:variant>
        <vt:i4>78</vt:i4>
      </vt:variant>
    </vt:vector>
  </HeadingPairs>
  <TitlesOfParts>
    <vt:vector size="85" baseType="lpstr">
      <vt:lpstr>Description</vt:lpstr>
      <vt:lpstr>Mode d'emploi</vt:lpstr>
      <vt:lpstr>1. Données logistiques</vt:lpstr>
      <vt:lpstr>2. Estim. Coûts Infra. Techn.</vt:lpstr>
      <vt:lpstr>Prix unitaires</vt:lpstr>
      <vt:lpstr>Paramètres</vt:lpstr>
      <vt:lpstr>TODO</vt:lpstr>
      <vt:lpstr>BW_AUT_IN_MIN</vt:lpstr>
      <vt:lpstr>BW_AUT_IN_REC</vt:lpstr>
      <vt:lpstr>BW_AUT_OUT_MIN</vt:lpstr>
      <vt:lpstr>BW_AUT_OUT_REC</vt:lpstr>
      <vt:lpstr>BW_AUTRES</vt:lpstr>
      <vt:lpstr>BW_ELE_1_8H</vt:lpstr>
      <vt:lpstr>BW_ELE_9_11H</vt:lpstr>
      <vt:lpstr>BW_ELE_IN_MIN</vt:lpstr>
      <vt:lpstr>BW_ELE_IN_REC</vt:lpstr>
      <vt:lpstr>BW_ELE_OUT_MIN</vt:lpstr>
      <vt:lpstr>BW_ELE_OUT_REC</vt:lpstr>
      <vt:lpstr>BW_ENS_IN_MIN</vt:lpstr>
      <vt:lpstr>BW_ENS_IN_REC</vt:lpstr>
      <vt:lpstr>BW_ENS_OUT_MIN</vt:lpstr>
      <vt:lpstr>BW_ENS_OUT_REC</vt:lpstr>
      <vt:lpstr>BW_ENSEIGN</vt:lpstr>
      <vt:lpstr>BW_SALLE_INFO</vt:lpstr>
      <vt:lpstr>Coût_tirage_câble_Eth</vt:lpstr>
      <vt:lpstr>Couts_Annuels</vt:lpstr>
      <vt:lpstr>Couts_Annuels_Bruts</vt:lpstr>
      <vt:lpstr>Couts_Uniques_Initiaux</vt:lpstr>
      <vt:lpstr>Couts_Uniques_Initiaux_brut</vt:lpstr>
      <vt:lpstr>Couts_Uniques_Renouv</vt:lpstr>
      <vt:lpstr>Couts_Uniques_Renouv_Bruts</vt:lpstr>
      <vt:lpstr>Decal_vertical</vt:lpstr>
      <vt:lpstr>Dotation_Déterm_1_2H</vt:lpstr>
      <vt:lpstr>Dotation_Déterm_3_4H</vt:lpstr>
      <vt:lpstr>Dotation_Déterm_5_6H</vt:lpstr>
      <vt:lpstr>Dotation_Déterm_7_8H</vt:lpstr>
      <vt:lpstr>Dotation_Déterm_9_11H</vt:lpstr>
      <vt:lpstr>Dotation_Déterm_9_12H</vt:lpstr>
      <vt:lpstr>ElevePClasse_1_2H</vt:lpstr>
      <vt:lpstr>ElevePClasse_3_4H</vt:lpstr>
      <vt:lpstr>ElevePClasse_5_6H</vt:lpstr>
      <vt:lpstr>ElevePClasse_7_8H</vt:lpstr>
      <vt:lpstr>ElevePClasse_9_11H</vt:lpstr>
      <vt:lpstr>Intro_Internet</vt:lpstr>
      <vt:lpstr>Lst_Syst_Rang</vt:lpstr>
      <vt:lpstr>Max_ElevePClasse</vt:lpstr>
      <vt:lpstr>Max_ElevePClasse_1_2H</vt:lpstr>
      <vt:lpstr>Max_ElevePClasse_3_4H</vt:lpstr>
      <vt:lpstr>Max_ElevePClasse_5_6H</vt:lpstr>
      <vt:lpstr>Max_ElevePClasse_7_8H</vt:lpstr>
      <vt:lpstr>Max_ElevePClasse_9_11H</vt:lpstr>
      <vt:lpstr>Moy_ElevePClasse</vt:lpstr>
      <vt:lpstr>Moy_ElevePClasse_1_2H</vt:lpstr>
      <vt:lpstr>Moy_ElevePClasse_3_4H</vt:lpstr>
      <vt:lpstr>Moy_ElevePClasse_5_6H</vt:lpstr>
      <vt:lpstr>Moy_ElevePClasse_7_8H</vt:lpstr>
      <vt:lpstr>Moy_ElevePClasse_9_11H</vt:lpstr>
      <vt:lpstr>Nb_Bat</vt:lpstr>
      <vt:lpstr>Nb_Cla_Std</vt:lpstr>
      <vt:lpstr>Nb_Ele_9_11H</vt:lpstr>
      <vt:lpstr>Nb_Tot_Bat</vt:lpstr>
      <vt:lpstr>Nb_Tot_Eleves</vt:lpstr>
      <vt:lpstr>Nb_Tot_Etages</vt:lpstr>
      <vt:lpstr>Nb_Tot_Internet</vt:lpstr>
      <vt:lpstr>Nb_Tot_SallesDeClasse</vt:lpstr>
      <vt:lpstr>NbCables_Equiv_Switch</vt:lpstr>
      <vt:lpstr>Nom_Etablissement</vt:lpstr>
      <vt:lpstr>pas_vertical</vt:lpstr>
      <vt:lpstr>Syst_Rang</vt:lpstr>
      <vt:lpstr>Tot_Antennes_Wifi</vt:lpstr>
      <vt:lpstr>Tot_Armoire_réseau</vt:lpstr>
      <vt:lpstr>Tot_Connexions</vt:lpstr>
      <vt:lpstr>Tot_Cout_Syst_Rang_init</vt:lpstr>
      <vt:lpstr>Tot_Cout_Syst_Rang_renouv</vt:lpstr>
      <vt:lpstr>Tot_Equip_Elèves</vt:lpstr>
      <vt:lpstr>Tot_Switches</vt:lpstr>
      <vt:lpstr>Tot_Syst_Rang</vt:lpstr>
      <vt:lpstr>Tot_Syst_Rang_conserver</vt:lpstr>
      <vt:lpstr>Tot_Syst_Rang_nouveaux</vt:lpstr>
      <vt:lpstr>TotalEtages</vt:lpstr>
      <vt:lpstr>TotalSalles</vt:lpstr>
      <vt:lpstr>'1. Données logistiques'!Zone_d_impression</vt:lpstr>
      <vt:lpstr>'2. Estim. Coûts Infra. Techn.'!Zone_d_impression</vt:lpstr>
      <vt:lpstr>Description!Zone_d_impression</vt:lpstr>
      <vt:lpstr>'Mode d''emploi'!Zone_d_impression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Bersier Christian</dc:creator>
  <cp:keywords/>
  <dc:description/>
  <cp:lastModifiedBy>Portmann Thierry</cp:lastModifiedBy>
  <cp:revision/>
  <dcterms:created xsi:type="dcterms:W3CDTF">2021-09-15T07:40:49Z</dcterms:created>
  <dcterms:modified xsi:type="dcterms:W3CDTF">2025-07-09T08:31:11Z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0x0101000C8FBCADA357BE479BFD7C8908B66D3D</vt:lpwstr>
  </property>
  <property fmtid="{D5CDD505-2E9C-101B-9397-08002B2CF9AE}" pid="3" name="xd_Signature">
    <vt:bool>false</vt:bool>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MediaServiceImageTags">
    <vt:lpwstr/>
  </property>
</Properties>
</file>