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atfr-my.sharepoint.com/personal/marion_bongard_fr_ch/Documents/Bureau/Site Internet - janvier 2025/"/>
    </mc:Choice>
  </mc:AlternateContent>
  <xr:revisionPtr revIDLastSave="2" documentId="13_ncr:1_{BC02AE15-A106-4429-8E6C-38FB0195AC7E}" xr6:coauthVersionLast="47" xr6:coauthVersionMax="47" xr10:uidLastSave="{789F1632-8268-49BC-A2BA-4FE59D77C7AA}"/>
  <workbookProtection lockStructure="1"/>
  <bookViews>
    <workbookView xWindow="-120" yWindow="-120" windowWidth="29040" windowHeight="15720" tabRatio="714" firstSheet="2" activeTab="2" xr2:uid="{00000000-000D-0000-FFFF-FFFF00000000}"/>
  </bookViews>
  <sheets>
    <sheet name="IPC dès 2011 f" sheetId="9" state="hidden" r:id="rId1"/>
    <sheet name="Paramètres" sheetId="20" state="hidden" r:id="rId2"/>
    <sheet name="IPC" sheetId="18" r:id="rId3"/>
  </sheets>
  <definedNames>
    <definedName name="_xlnm.Print_Area" localSheetId="0">'IPC dès 2011 f'!$A$1:$F$27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8" l="1"/>
  <c r="D25" i="18" l="1"/>
  <c r="D30" i="18" s="1"/>
  <c r="D26" i="18" s="1"/>
  <c r="D14" i="20" l="1"/>
  <c r="C14" i="20"/>
  <c r="C15" i="20" l="1"/>
  <c r="C16" i="20" s="1"/>
  <c r="C17" i="20" s="1"/>
  <c r="D15" i="20"/>
  <c r="D16" i="20" s="1"/>
  <c r="D17" i="20" s="1"/>
  <c r="E25" i="18"/>
  <c r="E12" i="18"/>
  <c r="B25" i="20" s="1"/>
  <c r="D12" i="18"/>
  <c r="A25" i="20" s="1"/>
  <c r="D16" i="18" l="1"/>
  <c r="A26" i="20" s="1"/>
  <c r="E30" i="18"/>
  <c r="E26" i="18" s="1"/>
  <c r="E16" i="18"/>
  <c r="B28" i="9"/>
  <c r="F21" i="9"/>
  <c r="F24" i="9" s="1"/>
  <c r="F22" i="9" s="1"/>
  <c r="E21" i="9"/>
  <c r="E24" i="9" s="1"/>
  <c r="E22" i="9" s="1"/>
  <c r="F10" i="9"/>
  <c r="I12" i="9" s="1"/>
  <c r="F12" i="9" s="1"/>
  <c r="E10" i="9"/>
  <c r="H12" i="9" s="1"/>
  <c r="E12" i="9" s="1"/>
  <c r="A27" i="20" l="1"/>
  <c r="D18" i="18" s="1"/>
  <c r="D17" i="18"/>
  <c r="B27" i="20"/>
  <c r="E18" i="18" s="1"/>
  <c r="B26" i="20"/>
  <c r="E17" i="18" s="1"/>
  <c r="H14" i="9"/>
  <c r="E14" i="9" s="1"/>
  <c r="H13" i="9"/>
  <c r="E13" i="9" s="1"/>
  <c r="E17" i="9" s="1"/>
  <c r="E26" i="9" s="1"/>
  <c r="I14" i="9"/>
  <c r="F14" i="9" s="1"/>
  <c r="I13" i="9"/>
  <c r="F13" i="9" s="1"/>
  <c r="E21" i="18" l="1"/>
  <c r="E32" i="18" s="1"/>
  <c r="D21" i="18"/>
  <c r="D32" i="18" s="1"/>
  <c r="F17" i="9"/>
  <c r="F26" i="9" s="1"/>
</calcChain>
</file>

<file path=xl/sharedStrings.xml><?xml version="1.0" encoding="utf-8"?>
<sst xmlns="http://schemas.openxmlformats.org/spreadsheetml/2006/main" count="93" uniqueCount="46">
  <si>
    <t>Impôt cantonal</t>
  </si>
  <si>
    <t>Coefficient</t>
  </si>
  <si>
    <t>Impôt en francs</t>
  </si>
  <si>
    <t>Impôt communal</t>
  </si>
  <si>
    <t>Impôt paroissial</t>
  </si>
  <si>
    <t>Revenu</t>
  </si>
  <si>
    <t>Total</t>
  </si>
  <si>
    <t>Majoration</t>
  </si>
  <si>
    <t>Impôt</t>
  </si>
  <si>
    <t>de base</t>
  </si>
  <si>
    <t>en francs</t>
  </si>
  <si>
    <t>Seul sans enfant IFD</t>
  </si>
  <si>
    <t>Marié ou avec enfant IFD</t>
  </si>
  <si>
    <t>Impôt fédéral direct</t>
  </si>
  <si>
    <t>Non arrondi</t>
  </si>
  <si>
    <t>IMPOSITION SEPAREE DES PRESTATIONS EN CAPITAL</t>
  </si>
  <si>
    <t>Impôts en francs</t>
  </si>
  <si>
    <t>Taux</t>
  </si>
  <si>
    <t>IFD</t>
  </si>
  <si>
    <t>Personne seule</t>
  </si>
  <si>
    <t>Personne mariée ou seule avec enfant(s)</t>
  </si>
  <si>
    <t>seul</t>
  </si>
  <si>
    <t>marié</t>
  </si>
  <si>
    <t>Déduction sociale pour marié ou avec enfant</t>
  </si>
  <si>
    <t>Prestation touchée :</t>
  </si>
  <si>
    <t>Prestation imposable :</t>
  </si>
  <si>
    <t>Impôts totaux</t>
  </si>
  <si>
    <t>Impôts fribourgeois :</t>
  </si>
  <si>
    <t>Impôt fédéral direct :</t>
  </si>
  <si>
    <t>art. 39 LICD</t>
  </si>
  <si>
    <t>Barème IFD 2011 / Post</t>
  </si>
  <si>
    <r>
      <t>Barème applicable pour les montants touchés dès le 1</t>
    </r>
    <r>
      <rPr>
        <b/>
        <vertAlign val="superscript"/>
        <sz val="12"/>
        <rFont val="Bookman Old Style"/>
        <family val="1"/>
      </rPr>
      <t>er</t>
    </r>
    <r>
      <rPr>
        <b/>
        <sz val="12"/>
        <rFont val="Bookman Old Style"/>
        <family val="1"/>
      </rPr>
      <t xml:space="preserve"> janvier </t>
    </r>
    <r>
      <rPr>
        <b/>
        <sz val="14"/>
        <rFont val="Bookman Old Style"/>
        <family val="1"/>
      </rPr>
      <t>2011</t>
    </r>
  </si>
  <si>
    <t>Art. 38 LIFD</t>
  </si>
  <si>
    <t>Imposition séparée des prestations en capital</t>
  </si>
  <si>
    <t>—</t>
  </si>
  <si>
    <t>Taux d'impôt</t>
  </si>
  <si>
    <t>Par tranche de</t>
  </si>
  <si>
    <t>Total cumulé</t>
  </si>
  <si>
    <t>+</t>
  </si>
  <si>
    <t>Seuil d'imposition</t>
  </si>
  <si>
    <t>Paramètres</t>
  </si>
  <si>
    <t>Impôt cumulé</t>
  </si>
  <si>
    <t>art. 38 LIFD</t>
  </si>
  <si>
    <t>Barème IFD 2025 / Post</t>
  </si>
  <si>
    <t>Barème applicable pour les montants touchés dès 2025</t>
  </si>
  <si>
    <t>Etat au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</si>
</sst>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&quot;fr.&quot;\ * #,##0.00_ ;_ &quot;fr.&quot;\ * \-#,##0.00_ ;_ &quot;fr.&quot;\ * &quot;-&quot;??_ ;_ @_ "/>
    <numFmt numFmtId="166" formatCode="0.000\ %"/>
    <numFmt numFmtId="167" formatCode="0.0000\ %"/>
    <numFmt numFmtId="168" formatCode="#,##0_ ;\-#,##0\ "/>
  </numFmts>
  <fonts count="24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Bookman Old Style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vertAlign val="superscript"/>
      <sz val="12"/>
      <name val="Bookman Old Style"/>
      <family val="1"/>
    </font>
    <font>
      <b/>
      <sz val="12"/>
      <name val="Bookman Old Style"/>
      <family val="1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Bookman Old Style"/>
      <family val="1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2"/>
      <name val="Bookman Old Style"/>
      <family val="1"/>
    </font>
    <font>
      <sz val="12"/>
      <name val="Arial"/>
      <family val="2"/>
    </font>
    <font>
      <b/>
      <sz val="16"/>
      <name val="Arial"/>
      <family val="2"/>
    </font>
    <font>
      <i/>
      <sz val="12"/>
      <name val="Arial"/>
      <family val="2"/>
    </font>
    <font>
      <b/>
      <sz val="10"/>
      <color rgb="FF6639B7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E0D9F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 style="thick">
        <color theme="0"/>
      </right>
      <top style="medium">
        <color rgb="FF6639B7"/>
      </top>
      <bottom style="thin">
        <color rgb="FF6639B7"/>
      </bottom>
      <diagonal/>
    </border>
    <border>
      <left style="thick">
        <color theme="0"/>
      </left>
      <right/>
      <top style="medium">
        <color rgb="FF6639B7"/>
      </top>
      <bottom style="thin">
        <color rgb="FF6639B7"/>
      </bottom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/>
      <bottom style="hair">
        <color indexed="64"/>
      </bottom>
      <diagonal/>
    </border>
    <border>
      <left style="thick">
        <color theme="0"/>
      </left>
      <right/>
      <top/>
      <bottom style="hair">
        <color indexed="64"/>
      </bottom>
      <diagonal/>
    </border>
    <border>
      <left/>
      <right style="thick">
        <color theme="0"/>
      </right>
      <top/>
      <bottom style="hair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2" fillId="0" borderId="0"/>
    <xf numFmtId="0" fontId="1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vertical="center"/>
    </xf>
    <xf numFmtId="0" fontId="13" fillId="0" borderId="7" xfId="2" applyFont="1" applyBorder="1" applyAlignment="1">
      <alignment horizontal="center" vertical="center"/>
    </xf>
    <xf numFmtId="168" fontId="12" fillId="0" borderId="12" xfId="3" applyNumberFormat="1" applyFon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2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12" xfId="0" applyFont="1" applyBorder="1" applyAlignment="1">
      <alignment horizontal="right" vertical="center" indent="1"/>
    </xf>
    <xf numFmtId="166" fontId="12" fillId="0" borderId="0" xfId="0" applyNumberFormat="1" applyFont="1" applyAlignment="1">
      <alignment horizontal="center" vertical="center"/>
    </xf>
    <xf numFmtId="165" fontId="12" fillId="0" borderId="12" xfId="0" applyNumberFormat="1" applyFont="1" applyBorder="1" applyAlignment="1">
      <alignment horizontal="right" vertical="center" indent="1"/>
    </xf>
    <xf numFmtId="4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5" fontId="13" fillId="0" borderId="12" xfId="0" applyNumberFormat="1" applyFont="1" applyBorder="1" applyAlignment="1">
      <alignment horizontal="right" vertical="center" indent="1"/>
    </xf>
    <xf numFmtId="0" fontId="13" fillId="0" borderId="0" xfId="0" applyFont="1" applyAlignment="1">
      <alignment horizontal="left" vertical="center"/>
    </xf>
    <xf numFmtId="0" fontId="12" fillId="0" borderId="0" xfId="3" applyFont="1" applyAlignment="1">
      <alignment vertical="center"/>
    </xf>
    <xf numFmtId="165" fontId="13" fillId="0" borderId="12" xfId="1" applyNumberFormat="1" applyFont="1" applyBorder="1" applyAlignment="1">
      <alignment horizontal="right" vertical="center" indent="1"/>
    </xf>
    <xf numFmtId="165" fontId="13" fillId="0" borderId="14" xfId="1" applyNumberFormat="1" applyFont="1" applyBorder="1" applyAlignment="1">
      <alignment horizontal="right" vertical="center" inden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right" vertical="center" indent="1"/>
    </xf>
    <xf numFmtId="0" fontId="12" fillId="0" borderId="0" xfId="0" quotePrefix="1" applyFont="1" applyAlignment="1">
      <alignment horizontal="right" vertical="center" indent="1"/>
    </xf>
    <xf numFmtId="0" fontId="14" fillId="0" borderId="0" xfId="0" applyFont="1" applyAlignment="1">
      <alignment vertical="center"/>
    </xf>
    <xf numFmtId="0" fontId="11" fillId="0" borderId="2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1" fillId="0" borderId="3" xfId="0" applyFont="1" applyBorder="1" applyAlignment="1">
      <alignment horizontal="centerContinuous" vertical="center"/>
    </xf>
    <xf numFmtId="0" fontId="18" fillId="2" borderId="4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3" fontId="18" fillId="2" borderId="2" xfId="0" applyNumberFormat="1" applyFont="1" applyFill="1" applyBorder="1" applyAlignment="1">
      <alignment vertical="center"/>
    </xf>
    <xf numFmtId="4" fontId="18" fillId="2" borderId="10" xfId="0" applyNumberFormat="1" applyFont="1" applyFill="1" applyBorder="1" applyAlignment="1">
      <alignment vertical="center"/>
    </xf>
    <xf numFmtId="4" fontId="18" fillId="2" borderId="11" xfId="0" applyNumberFormat="1" applyFont="1" applyFill="1" applyBorder="1" applyAlignment="1">
      <alignment vertical="center"/>
    </xf>
    <xf numFmtId="3" fontId="18" fillId="0" borderId="2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3" fontId="18" fillId="2" borderId="7" xfId="0" applyNumberFormat="1" applyFont="1" applyFill="1" applyBorder="1" applyAlignment="1">
      <alignment vertical="center"/>
    </xf>
    <xf numFmtId="4" fontId="18" fillId="2" borderId="8" xfId="0" applyNumberFormat="1" applyFont="1" applyFill="1" applyBorder="1" applyAlignment="1">
      <alignment vertical="center"/>
    </xf>
    <xf numFmtId="4" fontId="18" fillId="2" borderId="9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64" fontId="13" fillId="0" borderId="1" xfId="0" applyNumberFormat="1" applyFont="1" applyBorder="1" applyAlignment="1">
      <alignment vertical="center"/>
    </xf>
    <xf numFmtId="165" fontId="12" fillId="0" borderId="15" xfId="0" applyNumberFormat="1" applyFont="1" applyBorder="1" applyAlignment="1">
      <alignment horizontal="right" vertical="center" indent="1"/>
    </xf>
    <xf numFmtId="165" fontId="13" fillId="0" borderId="16" xfId="1" applyNumberFormat="1" applyFont="1" applyBorder="1" applyAlignment="1">
      <alignment horizontal="right" vertical="center" indent="1"/>
    </xf>
    <xf numFmtId="165" fontId="13" fillId="0" borderId="17" xfId="1" applyNumberFormat="1" applyFont="1" applyBorder="1" applyAlignment="1">
      <alignment horizontal="right" vertical="center" indent="1"/>
    </xf>
    <xf numFmtId="0" fontId="14" fillId="0" borderId="0" xfId="0" applyFont="1" applyAlignment="1">
      <alignment horizontal="right" vertical="center" indent="1"/>
    </xf>
    <xf numFmtId="0" fontId="13" fillId="0" borderId="14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/>
    </xf>
    <xf numFmtId="0" fontId="12" fillId="0" borderId="2" xfId="0" applyFont="1" applyBorder="1" applyAlignment="1">
      <alignment horizontal="right" vertical="center" indent="1"/>
    </xf>
    <xf numFmtId="165" fontId="12" fillId="0" borderId="2" xfId="0" applyNumberFormat="1" applyFont="1" applyBorder="1" applyAlignment="1">
      <alignment horizontal="right" vertical="center" indent="1"/>
    </xf>
    <xf numFmtId="165" fontId="12" fillId="0" borderId="18" xfId="0" applyNumberFormat="1" applyFont="1" applyBorder="1" applyAlignment="1">
      <alignment horizontal="right" vertical="center" indent="1"/>
    </xf>
    <xf numFmtId="165" fontId="13" fillId="0" borderId="2" xfId="0" applyNumberFormat="1" applyFont="1" applyBorder="1" applyAlignment="1">
      <alignment horizontal="right" vertical="center" indent="1"/>
    </xf>
    <xf numFmtId="168" fontId="12" fillId="0" borderId="2" xfId="3" applyNumberFormat="1" applyFont="1" applyBorder="1" applyAlignment="1">
      <alignment horizontal="right" vertical="center" indent="1"/>
    </xf>
    <xf numFmtId="165" fontId="13" fillId="0" borderId="2" xfId="1" applyNumberFormat="1" applyFont="1" applyBorder="1" applyAlignment="1">
      <alignment horizontal="right" vertical="center" indent="1"/>
    </xf>
    <xf numFmtId="165" fontId="13" fillId="0" borderId="7" xfId="1" applyNumberFormat="1" applyFont="1" applyBorder="1" applyAlignment="1">
      <alignment horizontal="right" vertical="center" indent="1"/>
    </xf>
    <xf numFmtId="0" fontId="12" fillId="0" borderId="19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4" fontId="12" fillId="0" borderId="2" xfId="0" applyNumberFormat="1" applyFont="1" applyBorder="1" applyAlignment="1">
      <alignment vertical="center"/>
    </xf>
    <xf numFmtId="4" fontId="12" fillId="0" borderId="3" xfId="0" applyNumberFormat="1" applyFont="1" applyBorder="1" applyAlignment="1">
      <alignment vertical="center"/>
    </xf>
    <xf numFmtId="4" fontId="12" fillId="0" borderId="7" xfId="0" applyNumberFormat="1" applyFont="1" applyBorder="1" applyAlignment="1">
      <alignment vertical="center"/>
    </xf>
    <xf numFmtId="4" fontId="12" fillId="0" borderId="21" xfId="0" applyNumberFormat="1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1" xfId="0" applyFont="1" applyBorder="1" applyAlignment="1">
      <alignment vertical="center"/>
    </xf>
    <xf numFmtId="166" fontId="12" fillId="2" borderId="25" xfId="0" applyNumberFormat="1" applyFont="1" applyFill="1" applyBorder="1" applyAlignment="1" applyProtection="1">
      <alignment horizontal="center" vertical="center"/>
      <protection locked="0"/>
    </xf>
    <xf numFmtId="3" fontId="12" fillId="0" borderId="18" xfId="2" applyNumberFormat="1" applyFont="1" applyBorder="1" applyAlignment="1">
      <alignment horizontal="right" vertical="center" indent="1"/>
    </xf>
    <xf numFmtId="3" fontId="12" fillId="0" borderId="15" xfId="2" applyNumberFormat="1" applyFont="1" applyBorder="1" applyAlignment="1">
      <alignment horizontal="right" vertical="center" indent="1"/>
    </xf>
    <xf numFmtId="167" fontId="12" fillId="0" borderId="18" xfId="3" applyNumberFormat="1" applyFont="1" applyBorder="1" applyAlignment="1">
      <alignment horizontal="right" vertical="center" indent="1"/>
    </xf>
    <xf numFmtId="167" fontId="12" fillId="0" borderId="15" xfId="3" applyNumberFormat="1" applyFont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 indent="1"/>
    </xf>
    <xf numFmtId="0" fontId="19" fillId="2" borderId="4" xfId="0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3" fontId="19" fillId="2" borderId="2" xfId="0" applyNumberFormat="1" applyFont="1" applyFill="1" applyBorder="1" applyAlignment="1">
      <alignment vertical="center"/>
    </xf>
    <xf numFmtId="4" fontId="19" fillId="2" borderId="10" xfId="0" applyNumberFormat="1" applyFont="1" applyFill="1" applyBorder="1" applyAlignment="1">
      <alignment vertical="center"/>
    </xf>
    <xf numFmtId="4" fontId="19" fillId="2" borderId="11" xfId="0" applyNumberFormat="1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vertical="center"/>
    </xf>
    <xf numFmtId="4" fontId="19" fillId="2" borderId="8" xfId="0" applyNumberFormat="1" applyFont="1" applyFill="1" applyBorder="1" applyAlignment="1">
      <alignment vertical="center"/>
    </xf>
    <xf numFmtId="4" fontId="19" fillId="2" borderId="9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vertical="center" indent="1"/>
    </xf>
    <xf numFmtId="0" fontId="8" fillId="0" borderId="0" xfId="0" quotePrefix="1" applyFont="1" applyAlignment="1">
      <alignment horizontal="right" vertical="center" indent="1"/>
    </xf>
    <xf numFmtId="0" fontId="20" fillId="0" borderId="0" xfId="0" applyFont="1" applyAlignment="1">
      <alignment vertical="center"/>
    </xf>
    <xf numFmtId="0" fontId="19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 applyAlignment="1">
      <alignment vertical="top"/>
    </xf>
    <xf numFmtId="0" fontId="6" fillId="0" borderId="29" xfId="0" applyFont="1" applyBorder="1" applyAlignment="1">
      <alignment vertical="top"/>
    </xf>
    <xf numFmtId="0" fontId="6" fillId="0" borderId="30" xfId="0" applyFont="1" applyBorder="1" applyAlignment="1">
      <alignment vertical="top"/>
    </xf>
    <xf numFmtId="0" fontId="22" fillId="0" borderId="31" xfId="2" applyFont="1" applyBorder="1" applyAlignment="1">
      <alignment horizontal="center" vertical="top"/>
    </xf>
    <xf numFmtId="0" fontId="22" fillId="0" borderId="32" xfId="2" applyFont="1" applyBorder="1" applyAlignment="1">
      <alignment horizontal="center" vertical="top" wrapText="1"/>
    </xf>
    <xf numFmtId="0" fontId="6" fillId="0" borderId="33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6" fillId="0" borderId="0" xfId="0" applyFont="1"/>
    <xf numFmtId="0" fontId="6" fillId="0" borderId="33" xfId="0" applyFont="1" applyBorder="1"/>
    <xf numFmtId="3" fontId="6" fillId="0" borderId="36" xfId="2" applyNumberFormat="1" applyFont="1" applyBorder="1" applyAlignment="1">
      <alignment horizontal="right"/>
    </xf>
    <xf numFmtId="3" fontId="6" fillId="0" borderId="37" xfId="2" applyNumberFormat="1" applyFont="1" applyBorder="1" applyAlignment="1">
      <alignment horizontal="right"/>
    </xf>
    <xf numFmtId="0" fontId="6" fillId="0" borderId="34" xfId="0" applyFont="1" applyBorder="1" applyAlignment="1">
      <alignment horizontal="right"/>
    </xf>
    <xf numFmtId="0" fontId="6" fillId="0" borderId="35" xfId="0" applyFont="1" applyBorder="1" applyAlignment="1">
      <alignment horizontal="right"/>
    </xf>
    <xf numFmtId="0" fontId="6" fillId="0" borderId="0" xfId="0" applyFont="1" applyAlignment="1">
      <alignment horizontal="right"/>
    </xf>
    <xf numFmtId="166" fontId="6" fillId="0" borderId="0" xfId="0" applyNumberFormat="1" applyFont="1" applyAlignment="1">
      <alignment horizontal="center"/>
    </xf>
    <xf numFmtId="165" fontId="6" fillId="0" borderId="34" xfId="0" applyNumberFormat="1" applyFont="1" applyBorder="1" applyAlignment="1">
      <alignment horizontal="right"/>
    </xf>
    <xf numFmtId="165" fontId="6" fillId="0" borderId="35" xfId="0" applyNumberFormat="1" applyFont="1" applyBorder="1" applyAlignment="1">
      <alignment horizontal="right"/>
    </xf>
    <xf numFmtId="4" fontId="6" fillId="0" borderId="0" xfId="0" applyNumberFormat="1" applyFont="1"/>
    <xf numFmtId="166" fontId="6" fillId="3" borderId="0" xfId="0" applyNumberFormat="1" applyFont="1" applyFill="1" applyAlignment="1" applyProtection="1">
      <alignment horizontal="center"/>
      <protection locked="0"/>
    </xf>
    <xf numFmtId="0" fontId="6" fillId="0" borderId="1" xfId="0" applyFont="1" applyBorder="1"/>
    <xf numFmtId="166" fontId="6" fillId="0" borderId="1" xfId="0" applyNumberFormat="1" applyFont="1" applyBorder="1" applyAlignment="1">
      <alignment horizontal="center"/>
    </xf>
    <xf numFmtId="0" fontId="6" fillId="0" borderId="38" xfId="0" applyFont="1" applyBorder="1"/>
    <xf numFmtId="165" fontId="6" fillId="0" borderId="36" xfId="0" applyNumberFormat="1" applyFont="1" applyBorder="1" applyAlignment="1">
      <alignment horizontal="right"/>
    </xf>
    <xf numFmtId="165" fontId="6" fillId="0" borderId="37" xfId="0" applyNumberFormat="1" applyFont="1" applyBorder="1" applyAlignment="1">
      <alignment horizontal="right"/>
    </xf>
    <xf numFmtId="164" fontId="6" fillId="0" borderId="0" xfId="0" applyNumberFormat="1" applyFont="1"/>
    <xf numFmtId="0" fontId="4" fillId="0" borderId="0" xfId="0" applyFont="1"/>
    <xf numFmtId="0" fontId="6" fillId="0" borderId="33" xfId="0" applyFont="1" applyBorder="1" applyAlignment="1">
      <alignment horizontal="right"/>
    </xf>
    <xf numFmtId="165" fontId="4" fillId="0" borderId="34" xfId="0" applyNumberFormat="1" applyFont="1" applyBorder="1" applyAlignment="1">
      <alignment horizontal="right"/>
    </xf>
    <xf numFmtId="165" fontId="4" fillId="0" borderId="35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8" fontId="6" fillId="0" borderId="34" xfId="3" applyNumberFormat="1" applyFont="1" applyBorder="1" applyAlignment="1">
      <alignment horizontal="right"/>
    </xf>
    <xf numFmtId="168" fontId="6" fillId="0" borderId="35" xfId="3" applyNumberFormat="1" applyFont="1" applyBorder="1" applyAlignment="1">
      <alignment horizontal="right"/>
    </xf>
    <xf numFmtId="165" fontId="4" fillId="0" borderId="34" xfId="1" applyNumberFormat="1" applyFont="1" applyBorder="1" applyAlignment="1">
      <alignment horizontal="right"/>
    </xf>
    <xf numFmtId="165" fontId="4" fillId="0" borderId="35" xfId="1" applyNumberFormat="1" applyFont="1" applyBorder="1" applyAlignment="1">
      <alignment horizontal="right"/>
    </xf>
    <xf numFmtId="0" fontId="4" fillId="0" borderId="28" xfId="0" applyFont="1" applyBorder="1"/>
    <xf numFmtId="0" fontId="6" fillId="0" borderId="28" xfId="0" applyFont="1" applyBorder="1"/>
    <xf numFmtId="0" fontId="6" fillId="0" borderId="39" xfId="0" applyFont="1" applyBorder="1"/>
    <xf numFmtId="165" fontId="4" fillId="0" borderId="40" xfId="1" applyNumberFormat="1" applyFont="1" applyBorder="1" applyAlignment="1">
      <alignment horizontal="right"/>
    </xf>
    <xf numFmtId="165" fontId="4" fillId="0" borderId="41" xfId="1" applyNumberFormat="1" applyFont="1" applyBorder="1" applyAlignment="1">
      <alignment horizontal="right"/>
    </xf>
    <xf numFmtId="3" fontId="6" fillId="0" borderId="34" xfId="2" applyNumberFormat="1" applyFont="1" applyBorder="1" applyAlignment="1">
      <alignment horizontal="right"/>
    </xf>
    <xf numFmtId="3" fontId="6" fillId="0" borderId="35" xfId="2" applyNumberFormat="1" applyFont="1" applyBorder="1" applyAlignment="1">
      <alignment horizontal="right"/>
    </xf>
    <xf numFmtId="0" fontId="6" fillId="0" borderId="0" xfId="3" applyFont="1"/>
    <xf numFmtId="167" fontId="6" fillId="0" borderId="34" xfId="3" applyNumberFormat="1" applyFont="1" applyBorder="1" applyAlignment="1">
      <alignment horizontal="right"/>
    </xf>
    <xf numFmtId="167" fontId="6" fillId="0" borderId="35" xfId="3" applyNumberFormat="1" applyFont="1" applyBorder="1" applyAlignment="1">
      <alignment horizontal="right"/>
    </xf>
    <xf numFmtId="0" fontId="1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64" fontId="6" fillId="0" borderId="0" xfId="4" applyFont="1" applyBorder="1" applyAlignment="1">
      <alignment horizontal="right"/>
    </xf>
    <xf numFmtId="9" fontId="6" fillId="0" borderId="0" xfId="5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64" fontId="1" fillId="0" borderId="0" xfId="4" applyFont="1" applyBorder="1" applyAlignment="1">
      <alignment horizontal="right"/>
    </xf>
    <xf numFmtId="0" fontId="1" fillId="0" borderId="0" xfId="0" applyFont="1" applyAlignment="1">
      <alignment horizontal="left"/>
    </xf>
    <xf numFmtId="164" fontId="6" fillId="4" borderId="0" xfId="4" applyFont="1" applyFill="1" applyBorder="1" applyAlignment="1">
      <alignment horizontal="center"/>
    </xf>
    <xf numFmtId="164" fontId="6" fillId="4" borderId="0" xfId="0" applyNumberFormat="1" applyFont="1" applyFill="1"/>
    <xf numFmtId="9" fontId="6" fillId="4" borderId="0" xfId="5" applyFont="1" applyFill="1" applyBorder="1" applyAlignment="1">
      <alignment horizontal="right"/>
    </xf>
    <xf numFmtId="164" fontId="6" fillId="4" borderId="0" xfId="4" applyFont="1" applyFill="1" applyBorder="1" applyAlignment="1">
      <alignment horizontal="right"/>
    </xf>
    <xf numFmtId="0" fontId="20" fillId="0" borderId="0" xfId="0" applyFont="1"/>
    <xf numFmtId="0" fontId="20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165" fontId="11" fillId="2" borderId="26" xfId="0" applyNumberFormat="1" applyFont="1" applyFill="1" applyBorder="1" applyAlignment="1" applyProtection="1">
      <alignment horizontal="right" vertical="center" indent="1"/>
      <protection locked="0"/>
    </xf>
    <xf numFmtId="165" fontId="11" fillId="2" borderId="27" xfId="0" applyNumberFormat="1" applyFont="1" applyFill="1" applyBorder="1" applyAlignment="1" applyProtection="1">
      <alignment horizontal="right" vertical="center" indent="1"/>
      <protection locked="0"/>
    </xf>
    <xf numFmtId="0" fontId="12" fillId="0" borderId="4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165" fontId="4" fillId="3" borderId="0" xfId="0" applyNumberFormat="1" applyFont="1" applyFill="1" applyAlignment="1" applyProtection="1">
      <alignment horizontal="right" vertical="center" indent="1"/>
      <protection locked="0"/>
    </xf>
  </cellXfs>
  <cellStyles count="6">
    <cellStyle name="Milliers" xfId="4" builtinId="3"/>
    <cellStyle name="Normal" xfId="0" builtinId="0"/>
    <cellStyle name="Normal_Barème 2001-2002" xfId="1" xr:uid="{00000000-0005-0000-0000-000002000000}"/>
    <cellStyle name="Normal_Classeur2" xfId="2" xr:uid="{00000000-0005-0000-0000-000003000000}"/>
    <cellStyle name="Normal_FORMULES" xfId="3" xr:uid="{00000000-0005-0000-0000-000004000000}"/>
    <cellStyle name="Pourcentag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topLeftCell="A44" workbookViewId="0">
      <selection activeCell="A29" sqref="A29:IV69"/>
    </sheetView>
  </sheetViews>
  <sheetFormatPr baseColWidth="10" defaultRowHeight="15" x14ac:dyDescent="0.2"/>
  <cols>
    <col min="1" max="1" width="2" style="4" bestFit="1" customWidth="1"/>
    <col min="2" max="2" width="18.42578125" style="4" customWidth="1"/>
    <col min="3" max="3" width="13.7109375" style="4" customWidth="1"/>
    <col min="4" max="4" width="12.7109375" style="4" customWidth="1"/>
    <col min="5" max="6" width="22.28515625" style="4" customWidth="1"/>
    <col min="7" max="8" width="13.7109375" style="4" hidden="1" customWidth="1"/>
    <col min="9" max="12" width="0" style="4" hidden="1" customWidth="1"/>
    <col min="13" max="16384" width="11.42578125" style="4"/>
  </cols>
  <sheetData>
    <row r="1" spans="2:10" ht="33" customHeight="1" x14ac:dyDescent="0.2">
      <c r="B1" s="169" t="s">
        <v>15</v>
      </c>
      <c r="C1" s="169"/>
      <c r="D1" s="169"/>
      <c r="E1" s="169"/>
      <c r="F1" s="169"/>
    </row>
    <row r="2" spans="2:10" s="6" customFormat="1" ht="25.5" customHeight="1" x14ac:dyDescent="0.2">
      <c r="B2" s="5" t="s">
        <v>31</v>
      </c>
      <c r="E2" s="7"/>
    </row>
    <row r="4" spans="2:10" ht="15.75" x14ac:dyDescent="0.2">
      <c r="B4" s="4" t="s">
        <v>24</v>
      </c>
      <c r="C4" s="170">
        <v>56321.45</v>
      </c>
      <c r="D4" s="171"/>
      <c r="E4" s="8"/>
      <c r="F4" s="49" t="s">
        <v>29</v>
      </c>
    </row>
    <row r="5" spans="2:10" ht="6.75" customHeight="1" x14ac:dyDescent="0.2">
      <c r="B5" s="9"/>
      <c r="C5" s="9"/>
      <c r="D5" s="45"/>
      <c r="E5" s="10"/>
      <c r="F5" s="9"/>
    </row>
    <row r="6" spans="2:10" ht="6.75" customHeight="1" x14ac:dyDescent="0.2"/>
    <row r="7" spans="2:10" x14ac:dyDescent="0.2">
      <c r="G7" s="11"/>
    </row>
    <row r="8" spans="2:10" ht="25.5" x14ac:dyDescent="0.2">
      <c r="E8" s="2" t="s">
        <v>19</v>
      </c>
      <c r="F8" s="50" t="s">
        <v>20</v>
      </c>
    </row>
    <row r="9" spans="2:10" x14ac:dyDescent="0.2">
      <c r="E9" s="51"/>
      <c r="F9" s="12"/>
      <c r="H9" s="172" t="s">
        <v>14</v>
      </c>
      <c r="I9" s="173"/>
      <c r="J9" s="59"/>
    </row>
    <row r="10" spans="2:10" x14ac:dyDescent="0.2">
      <c r="C10" s="4" t="s">
        <v>25</v>
      </c>
      <c r="E10" s="73">
        <f>FLOOR(MAX(($C$4),0),100)</f>
        <v>56300</v>
      </c>
      <c r="F10" s="74">
        <f>FLOOR(MAX(($C$4-$H$19),0),100)</f>
        <v>51300</v>
      </c>
      <c r="H10" s="174" t="s">
        <v>2</v>
      </c>
      <c r="I10" s="175"/>
      <c r="J10" s="60"/>
    </row>
    <row r="11" spans="2:10" x14ac:dyDescent="0.2">
      <c r="C11" s="11" t="s">
        <v>1</v>
      </c>
      <c r="E11" s="52" t="s">
        <v>16</v>
      </c>
      <c r="F11" s="13" t="s">
        <v>16</v>
      </c>
      <c r="H11" s="61" t="s">
        <v>21</v>
      </c>
      <c r="I11" s="62" t="s">
        <v>22</v>
      </c>
    </row>
    <row r="12" spans="2:10" x14ac:dyDescent="0.2">
      <c r="B12" s="4" t="s">
        <v>0</v>
      </c>
      <c r="C12" s="14">
        <v>1</v>
      </c>
      <c r="E12" s="53">
        <f t="shared" ref="E12:F14" si="0">ROUND(H12*20,0)/20</f>
        <v>1289</v>
      </c>
      <c r="F12" s="15">
        <f t="shared" si="0"/>
        <v>1139</v>
      </c>
      <c r="H12" s="63">
        <f>IF(E10&lt;5000,0,IF(E10&lt;=40000,E10*0.02,IF(E10&lt;=80000,800+(E10-40000)*0.03,IF(E10&lt;=130000,2000+(E10-80000)*0.04,IF(E10&lt;=190000,4000+(E10-130000)*0.05,7000+(E10-190000)*0.06)))))</f>
        <v>1289</v>
      </c>
      <c r="I12" s="64">
        <f>IF(F10&lt;5000,0,IF(F10&lt;=40000,F10*0.02,IF(F10&lt;=80000,800+(F10-40000)*0.03,IF(F10&lt;=130000,2000+(F10-80000)*0.04,IF(F10&lt;=190000,4000+(F10-130000)*0.05,7000+(F10-190000)*0.06)))))</f>
        <v>1139</v>
      </c>
    </row>
    <row r="13" spans="2:10" x14ac:dyDescent="0.2">
      <c r="B13" s="4" t="s">
        <v>3</v>
      </c>
      <c r="C13" s="72">
        <v>0.87</v>
      </c>
      <c r="E13" s="53">
        <f t="shared" si="0"/>
        <v>1121.45</v>
      </c>
      <c r="F13" s="15">
        <f t="shared" si="0"/>
        <v>990.95</v>
      </c>
      <c r="H13" s="63">
        <f>$E$12*C13</f>
        <v>1121.43</v>
      </c>
      <c r="I13" s="64">
        <f>$F$12*C13</f>
        <v>990.93</v>
      </c>
    </row>
    <row r="14" spans="2:10" x14ac:dyDescent="0.2">
      <c r="B14" s="4" t="s">
        <v>4</v>
      </c>
      <c r="C14" s="72">
        <v>7.4999999999999997E-2</v>
      </c>
      <c r="E14" s="53">
        <f t="shared" si="0"/>
        <v>96.7</v>
      </c>
      <c r="F14" s="15">
        <f t="shared" si="0"/>
        <v>85.45</v>
      </c>
      <c r="H14" s="65">
        <f>$E$12*C14</f>
        <v>96.674999999999997</v>
      </c>
      <c r="I14" s="66">
        <f>$F$12*C14</f>
        <v>85.424999999999997</v>
      </c>
    </row>
    <row r="15" spans="2:10" ht="7.5" customHeight="1" x14ac:dyDescent="0.2">
      <c r="C15" s="14"/>
      <c r="E15" s="54"/>
      <c r="F15" s="46"/>
      <c r="G15" s="16"/>
      <c r="H15" s="16"/>
      <c r="J15" s="17"/>
    </row>
    <row r="16" spans="2:10" ht="7.5" customHeight="1" x14ac:dyDescent="0.2">
      <c r="E16" s="53"/>
      <c r="F16" s="13"/>
      <c r="H16" s="16"/>
    </row>
    <row r="17" spans="1:11" x14ac:dyDescent="0.2">
      <c r="B17" s="23" t="s">
        <v>27</v>
      </c>
      <c r="D17" s="24" t="s">
        <v>6</v>
      </c>
      <c r="E17" s="55">
        <f>SUM(E12:E14)</f>
        <v>2507.1499999999996</v>
      </c>
      <c r="F17" s="18">
        <f>SUM(F12:F14)</f>
        <v>2215.3999999999996</v>
      </c>
      <c r="H17" s="16"/>
    </row>
    <row r="18" spans="1:11" x14ac:dyDescent="0.2">
      <c r="D18" s="24"/>
      <c r="E18" s="55"/>
      <c r="F18" s="13"/>
      <c r="H18" s="51" t="s">
        <v>23</v>
      </c>
      <c r="I18" s="67"/>
      <c r="J18" s="67"/>
      <c r="K18" s="68"/>
    </row>
    <row r="19" spans="1:11" x14ac:dyDescent="0.2">
      <c r="D19" s="24"/>
      <c r="E19" s="55"/>
      <c r="F19" s="13"/>
      <c r="H19" s="69">
        <v>5000</v>
      </c>
      <c r="I19" s="70"/>
      <c r="J19" s="70"/>
      <c r="K19" s="71"/>
    </row>
    <row r="20" spans="1:11" x14ac:dyDescent="0.2">
      <c r="B20" s="19" t="s">
        <v>28</v>
      </c>
      <c r="D20" s="24"/>
      <c r="E20" s="52"/>
      <c r="F20" s="13"/>
    </row>
    <row r="21" spans="1:11" x14ac:dyDescent="0.2">
      <c r="C21" s="4" t="s">
        <v>25</v>
      </c>
      <c r="D21" s="24"/>
      <c r="E21" s="56">
        <f>FLOOR(C4,100)</f>
        <v>56300</v>
      </c>
      <c r="F21" s="3">
        <f>FLOOR(C4,100)</f>
        <v>56300</v>
      </c>
    </row>
    <row r="22" spans="1:11" x14ac:dyDescent="0.2">
      <c r="A22" s="20"/>
      <c r="B22" s="20"/>
      <c r="D22" s="24" t="s">
        <v>17</v>
      </c>
      <c r="E22" s="75">
        <f>E24/E21</f>
        <v>2.2024866785079929E-3</v>
      </c>
      <c r="F22" s="76">
        <f>F24/F21</f>
        <v>1.2113676731793962E-3</v>
      </c>
    </row>
    <row r="23" spans="1:11" x14ac:dyDescent="0.2">
      <c r="D23" s="24"/>
      <c r="E23" s="52" t="s">
        <v>16</v>
      </c>
      <c r="F23" s="13" t="s">
        <v>16</v>
      </c>
    </row>
    <row r="24" spans="1:11" x14ac:dyDescent="0.2">
      <c r="D24" s="24" t="s">
        <v>18</v>
      </c>
      <c r="E24" s="57">
        <f>ROUND(FLOOR(VLOOKUP(FLOOR(E21,100),$B$38:$D$49,2)+(FLOOR(E21,100)-VLOOKUP(FLOOR(E21,100),$B$38:$D$49,1))/100*VLOOKUP(FLOOR(E21,100),$B$38:$D$49,3),0.05)/5*20,0)/20</f>
        <v>124</v>
      </c>
      <c r="F24" s="21">
        <f>FLOOR(VLOOKUP(FLOOR(F21,100),$B$54:$D$69,2)+(FLOOR(F21,100)-VLOOKUP(FLOOR(F21,100),$B$54:$D$69,1))/100*VLOOKUP(FLOOR(F21,100),$B$54:$D$69,3),0.05)/5</f>
        <v>68.2</v>
      </c>
    </row>
    <row r="25" spans="1:11" ht="7.5" customHeight="1" x14ac:dyDescent="0.2">
      <c r="E25" s="58"/>
      <c r="F25" s="22"/>
    </row>
    <row r="26" spans="1:11" ht="25.5" customHeight="1" thickBot="1" x14ac:dyDescent="0.25">
      <c r="B26" s="23" t="s">
        <v>26</v>
      </c>
      <c r="E26" s="47">
        <f>SUM(E17,E24)</f>
        <v>2631.1499999999996</v>
      </c>
      <c r="F26" s="48">
        <f>SUM(F17,F24)</f>
        <v>2283.5999999999995</v>
      </c>
    </row>
    <row r="27" spans="1:11" ht="15.75" thickTop="1" x14ac:dyDescent="0.2">
      <c r="E27" s="24"/>
      <c r="F27" s="25"/>
    </row>
    <row r="28" spans="1:11" x14ac:dyDescent="0.2">
      <c r="B28" s="26" t="str">
        <f ca="1">CELL("nomfichier")</f>
        <v>https://etatfr-my.sharepoint.com/personal/marion_bongard_fr_ch/Documents/Bureau/Site Internet - janvier 2025/[Calculette Internet Prestations en capital 2025 - f.xlsx]IPC</v>
      </c>
    </row>
    <row r="34" spans="2:7" ht="15.75" x14ac:dyDescent="0.2">
      <c r="B34" s="176" t="s">
        <v>30</v>
      </c>
      <c r="C34" s="176"/>
      <c r="D34" s="176"/>
      <c r="E34" s="176"/>
      <c r="F34" s="176"/>
      <c r="G34" s="176"/>
    </row>
    <row r="35" spans="2:7" ht="15.75" x14ac:dyDescent="0.2">
      <c r="B35" s="27" t="s">
        <v>11</v>
      </c>
      <c r="C35" s="28"/>
      <c r="D35" s="29"/>
    </row>
    <row r="36" spans="2:7" ht="15.75" x14ac:dyDescent="0.2">
      <c r="B36" s="30" t="s">
        <v>5</v>
      </c>
      <c r="C36" s="31" t="s">
        <v>8</v>
      </c>
      <c r="D36" s="32" t="s">
        <v>7</v>
      </c>
    </row>
    <row r="37" spans="2:7" ht="15.75" x14ac:dyDescent="0.2">
      <c r="B37" s="33"/>
      <c r="C37" s="34" t="s">
        <v>9</v>
      </c>
      <c r="D37" s="35" t="s">
        <v>10</v>
      </c>
    </row>
    <row r="38" spans="2:7" ht="15.75" x14ac:dyDescent="0.2">
      <c r="B38" s="36">
        <v>0</v>
      </c>
      <c r="C38" s="37">
        <v>0</v>
      </c>
      <c r="D38" s="38">
        <v>0</v>
      </c>
      <c r="E38" s="39"/>
      <c r="F38" s="40"/>
      <c r="G38" s="40"/>
    </row>
    <row r="39" spans="2:7" ht="15.75" x14ac:dyDescent="0.2">
      <c r="B39" s="36">
        <v>17700</v>
      </c>
      <c r="C39" s="37">
        <v>25.41</v>
      </c>
      <c r="D39" s="38">
        <v>0.77</v>
      </c>
      <c r="E39" s="39"/>
      <c r="F39" s="40"/>
      <c r="G39" s="40"/>
    </row>
    <row r="40" spans="2:7" ht="15.75" x14ac:dyDescent="0.2">
      <c r="B40" s="36">
        <v>31600</v>
      </c>
      <c r="C40" s="37">
        <v>132.53</v>
      </c>
      <c r="D40" s="38">
        <v>0.88</v>
      </c>
      <c r="E40" s="39"/>
      <c r="F40" s="40"/>
      <c r="G40" s="40"/>
    </row>
    <row r="41" spans="2:7" ht="15.75" x14ac:dyDescent="0.2">
      <c r="B41" s="36">
        <v>41300</v>
      </c>
      <c r="C41" s="37">
        <v>219.64</v>
      </c>
      <c r="D41" s="38">
        <v>2.64</v>
      </c>
      <c r="E41" s="39"/>
      <c r="F41" s="40"/>
      <c r="G41" s="40"/>
    </row>
    <row r="42" spans="2:7" ht="15.75" x14ac:dyDescent="0.2">
      <c r="B42" s="36">
        <v>55100</v>
      </c>
      <c r="C42" s="37">
        <v>584.27</v>
      </c>
      <c r="D42" s="38">
        <v>2.97</v>
      </c>
      <c r="E42" s="39"/>
      <c r="F42" s="40"/>
      <c r="G42" s="40"/>
    </row>
    <row r="43" spans="2:7" ht="15.75" x14ac:dyDescent="0.2">
      <c r="B43" s="36">
        <v>72300</v>
      </c>
      <c r="C43" s="37">
        <v>1098.04</v>
      </c>
      <c r="D43" s="38">
        <v>5.94</v>
      </c>
      <c r="E43" s="39"/>
      <c r="F43" s="40"/>
      <c r="G43" s="40"/>
    </row>
    <row r="44" spans="2:7" ht="15.75" x14ac:dyDescent="0.2">
      <c r="B44" s="36">
        <v>77800</v>
      </c>
      <c r="C44" s="37">
        <v>1425.4</v>
      </c>
      <c r="D44" s="38">
        <v>6.6</v>
      </c>
      <c r="E44" s="39"/>
      <c r="F44" s="40"/>
      <c r="G44" s="40"/>
    </row>
    <row r="45" spans="2:7" ht="15.75" x14ac:dyDescent="0.2">
      <c r="B45" s="36">
        <v>103100</v>
      </c>
      <c r="C45" s="37">
        <v>3097.4</v>
      </c>
      <c r="D45" s="38">
        <v>8.8000000000000007</v>
      </c>
      <c r="E45" s="39"/>
      <c r="F45" s="40"/>
      <c r="G45" s="40"/>
    </row>
    <row r="46" spans="2:7" ht="15.75" x14ac:dyDescent="0.2">
      <c r="B46" s="36">
        <v>134000</v>
      </c>
      <c r="C46" s="37">
        <v>5818.8</v>
      </c>
      <c r="D46" s="38">
        <v>11</v>
      </c>
      <c r="E46" s="39"/>
      <c r="F46" s="40"/>
      <c r="G46" s="40"/>
    </row>
    <row r="47" spans="2:7" ht="15.75" x14ac:dyDescent="0.2">
      <c r="B47" s="36">
        <v>175100</v>
      </c>
      <c r="C47" s="37">
        <v>10342</v>
      </c>
      <c r="D47" s="38">
        <v>13.2</v>
      </c>
      <c r="E47" s="39"/>
      <c r="F47" s="40"/>
      <c r="G47" s="40"/>
    </row>
    <row r="48" spans="2:7" ht="15.75" x14ac:dyDescent="0.2">
      <c r="B48" s="36">
        <v>751300</v>
      </c>
      <c r="C48" s="37">
        <v>86399.5</v>
      </c>
      <c r="D48" s="38">
        <v>0</v>
      </c>
      <c r="E48" s="39"/>
      <c r="F48" s="40"/>
      <c r="G48" s="40"/>
    </row>
    <row r="49" spans="2:7" ht="15.75" x14ac:dyDescent="0.2">
      <c r="B49" s="41">
        <v>751400</v>
      </c>
      <c r="C49" s="42">
        <v>86411</v>
      </c>
      <c r="D49" s="43">
        <v>11.5</v>
      </c>
      <c r="E49" s="39"/>
      <c r="F49" s="40"/>
      <c r="G49" s="40"/>
    </row>
    <row r="50" spans="2:7" ht="15.75" x14ac:dyDescent="0.2">
      <c r="B50" s="44"/>
      <c r="C50" s="44"/>
      <c r="D50" s="44"/>
    </row>
    <row r="51" spans="2:7" ht="15.75" x14ac:dyDescent="0.2">
      <c r="B51" s="27" t="s">
        <v>12</v>
      </c>
      <c r="C51" s="28"/>
      <c r="D51" s="29"/>
    </row>
    <row r="52" spans="2:7" ht="15.75" x14ac:dyDescent="0.2">
      <c r="B52" s="30" t="s">
        <v>5</v>
      </c>
      <c r="C52" s="31" t="s">
        <v>8</v>
      </c>
      <c r="D52" s="32" t="s">
        <v>7</v>
      </c>
    </row>
    <row r="53" spans="2:7" ht="15.75" x14ac:dyDescent="0.2">
      <c r="B53" s="33"/>
      <c r="C53" s="34" t="s">
        <v>9</v>
      </c>
      <c r="D53" s="35" t="s">
        <v>10</v>
      </c>
    </row>
    <row r="54" spans="2:7" ht="15.75" x14ac:dyDescent="0.2">
      <c r="B54" s="36">
        <v>0</v>
      </c>
      <c r="C54" s="37">
        <v>0</v>
      </c>
      <c r="D54" s="38">
        <v>0</v>
      </c>
      <c r="E54" s="39"/>
      <c r="F54" s="40"/>
      <c r="G54" s="40"/>
    </row>
    <row r="55" spans="2:7" ht="15.75" x14ac:dyDescent="0.2">
      <c r="B55" s="36">
        <v>30600</v>
      </c>
      <c r="C55" s="37">
        <v>25</v>
      </c>
      <c r="D55" s="38">
        <v>1</v>
      </c>
      <c r="E55" s="39"/>
      <c r="F55" s="40"/>
      <c r="G55" s="40"/>
    </row>
    <row r="56" spans="2:7" ht="15.75" x14ac:dyDescent="0.2">
      <c r="B56" s="36">
        <v>50500</v>
      </c>
      <c r="C56" s="37">
        <v>225</v>
      </c>
      <c r="D56" s="38">
        <v>2</v>
      </c>
      <c r="E56" s="39"/>
      <c r="F56" s="40"/>
      <c r="G56" s="40"/>
    </row>
    <row r="57" spans="2:7" ht="15.75" x14ac:dyDescent="0.2">
      <c r="B57" s="36">
        <v>58000</v>
      </c>
      <c r="C57" s="37">
        <v>376</v>
      </c>
      <c r="D57" s="38">
        <v>3</v>
      </c>
      <c r="E57" s="39"/>
      <c r="F57" s="40"/>
      <c r="G57" s="40"/>
    </row>
    <row r="58" spans="2:7" ht="15.75" x14ac:dyDescent="0.2">
      <c r="B58" s="36">
        <v>74800</v>
      </c>
      <c r="C58" s="37">
        <v>881</v>
      </c>
      <c r="D58" s="38">
        <v>4</v>
      </c>
      <c r="E58" s="39"/>
      <c r="F58" s="40"/>
      <c r="G58" s="40"/>
    </row>
    <row r="59" spans="2:7" ht="15.75" x14ac:dyDescent="0.2">
      <c r="B59" s="36">
        <v>89800</v>
      </c>
      <c r="C59" s="37">
        <v>1482</v>
      </c>
      <c r="D59" s="38">
        <v>5</v>
      </c>
      <c r="E59" s="39"/>
      <c r="F59" s="40"/>
      <c r="G59" s="40"/>
    </row>
    <row r="60" spans="2:7" ht="15.75" x14ac:dyDescent="0.2">
      <c r="B60" s="36">
        <v>102800</v>
      </c>
      <c r="C60" s="37">
        <v>2133</v>
      </c>
      <c r="D60" s="38">
        <v>6</v>
      </c>
      <c r="E60" s="39"/>
      <c r="F60" s="40"/>
      <c r="G60" s="40"/>
    </row>
    <row r="61" spans="2:7" ht="15.75" x14ac:dyDescent="0.2">
      <c r="B61" s="36">
        <v>114000</v>
      </c>
      <c r="C61" s="37">
        <v>2806</v>
      </c>
      <c r="D61" s="38">
        <v>7</v>
      </c>
      <c r="E61" s="39"/>
      <c r="F61" s="40"/>
      <c r="G61" s="40"/>
    </row>
    <row r="62" spans="2:7" ht="15.75" x14ac:dyDescent="0.2">
      <c r="B62" s="36">
        <v>123400</v>
      </c>
      <c r="C62" s="37">
        <v>3465</v>
      </c>
      <c r="D62" s="38">
        <v>8</v>
      </c>
      <c r="E62" s="39"/>
      <c r="F62" s="40"/>
      <c r="G62" s="40"/>
    </row>
    <row r="63" spans="2:7" ht="15.75" x14ac:dyDescent="0.2">
      <c r="B63" s="36">
        <v>130900</v>
      </c>
      <c r="C63" s="37">
        <v>4066</v>
      </c>
      <c r="D63" s="38">
        <v>9</v>
      </c>
      <c r="E63" s="39"/>
      <c r="F63" s="40"/>
      <c r="G63" s="40"/>
    </row>
    <row r="64" spans="2:7" ht="15.75" x14ac:dyDescent="0.2">
      <c r="B64" s="36">
        <v>136400</v>
      </c>
      <c r="C64" s="37">
        <v>4562</v>
      </c>
      <c r="D64" s="38">
        <v>10</v>
      </c>
      <c r="E64" s="39"/>
      <c r="F64" s="40"/>
      <c r="G64" s="40"/>
    </row>
    <row r="65" spans="2:7" ht="15.75" x14ac:dyDescent="0.2">
      <c r="B65" s="36">
        <v>140300</v>
      </c>
      <c r="C65" s="37">
        <v>4953</v>
      </c>
      <c r="D65" s="38">
        <v>11</v>
      </c>
      <c r="E65" s="39"/>
      <c r="F65" s="40"/>
      <c r="G65" s="40"/>
    </row>
    <row r="66" spans="2:7" ht="15.75" x14ac:dyDescent="0.2">
      <c r="B66" s="36">
        <v>142200</v>
      </c>
      <c r="C66" s="37">
        <v>5163</v>
      </c>
      <c r="D66" s="38">
        <v>12</v>
      </c>
      <c r="E66" s="39"/>
      <c r="F66" s="40"/>
      <c r="G66" s="40"/>
    </row>
    <row r="67" spans="2:7" ht="15.75" x14ac:dyDescent="0.2">
      <c r="B67" s="36">
        <v>144100</v>
      </c>
      <c r="C67" s="37">
        <v>5392</v>
      </c>
      <c r="D67" s="38">
        <v>13</v>
      </c>
      <c r="E67" s="39"/>
      <c r="F67" s="40"/>
      <c r="G67" s="40"/>
    </row>
    <row r="68" spans="2:7" ht="15.75" x14ac:dyDescent="0.2">
      <c r="B68" s="36">
        <v>889500</v>
      </c>
      <c r="C68" s="37">
        <v>102292.5</v>
      </c>
      <c r="D68" s="38">
        <v>11.5</v>
      </c>
      <c r="E68" s="39"/>
      <c r="F68" s="40"/>
      <c r="G68" s="40"/>
    </row>
    <row r="69" spans="2:7" ht="15.75" x14ac:dyDescent="0.2">
      <c r="B69" s="41"/>
      <c r="C69" s="42"/>
      <c r="D69" s="43"/>
      <c r="E69" s="39"/>
      <c r="F69" s="40"/>
      <c r="G69" s="40"/>
    </row>
    <row r="70" spans="2:7" ht="15.75" x14ac:dyDescent="0.2">
      <c r="B70" s="44"/>
      <c r="C70" s="44"/>
      <c r="D70" s="44"/>
    </row>
  </sheetData>
  <sheetProtection selectLockedCells="1"/>
  <mergeCells count="6">
    <mergeCell ref="B1:F1"/>
    <mergeCell ref="C4:D4"/>
    <mergeCell ref="H9:I9"/>
    <mergeCell ref="H10:I10"/>
    <mergeCell ref="B34:D34"/>
    <mergeCell ref="E34:G34"/>
  </mergeCells>
  <pageMargins left="0.53" right="0.3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8"/>
  <sheetViews>
    <sheetView workbookViewId="0"/>
  </sheetViews>
  <sheetFormatPr baseColWidth="10" defaultRowHeight="12.75" x14ac:dyDescent="0.2"/>
  <cols>
    <col min="1" max="1" width="16.85546875" customWidth="1"/>
    <col min="2" max="2" width="13.140625" bestFit="1" customWidth="1"/>
  </cols>
  <sheetData>
    <row r="1" spans="1:4" ht="20.25" x14ac:dyDescent="0.3">
      <c r="A1" s="166" t="s">
        <v>40</v>
      </c>
    </row>
    <row r="2" spans="1:4" x14ac:dyDescent="0.2">
      <c r="A2" s="151"/>
      <c r="B2" s="151"/>
    </row>
    <row r="3" spans="1:4" x14ac:dyDescent="0.2">
      <c r="A3" s="151"/>
      <c r="B3" s="151"/>
    </row>
    <row r="4" spans="1:4" ht="20.25" x14ac:dyDescent="0.3">
      <c r="A4" s="167" t="s">
        <v>0</v>
      </c>
      <c r="B4" s="151"/>
    </row>
    <row r="5" spans="1:4" x14ac:dyDescent="0.2">
      <c r="A5" s="151"/>
      <c r="B5" s="151"/>
    </row>
    <row r="6" spans="1:4" x14ac:dyDescent="0.2">
      <c r="A6" s="161" t="s">
        <v>39</v>
      </c>
      <c r="D6" s="162">
        <v>10000</v>
      </c>
    </row>
    <row r="7" spans="1:4" x14ac:dyDescent="0.2">
      <c r="A7" s="151"/>
      <c r="B7" s="151"/>
    </row>
    <row r="8" spans="1:4" x14ac:dyDescent="0.2">
      <c r="A8" s="109" t="s">
        <v>23</v>
      </c>
      <c r="B8" s="109"/>
      <c r="D8" s="163">
        <v>10000</v>
      </c>
    </row>
    <row r="9" spans="1:4" x14ac:dyDescent="0.2">
      <c r="B9" s="109"/>
    </row>
    <row r="10" spans="1:4" x14ac:dyDescent="0.2">
      <c r="A10" s="151"/>
      <c r="B10" s="151"/>
    </row>
    <row r="11" spans="1:4" x14ac:dyDescent="0.2">
      <c r="A11" s="119"/>
      <c r="B11" s="109"/>
    </row>
    <row r="12" spans="1:4" x14ac:dyDescent="0.2">
      <c r="A12" s="157" t="s">
        <v>35</v>
      </c>
      <c r="B12" s="157" t="s">
        <v>36</v>
      </c>
      <c r="C12" s="158" t="s">
        <v>37</v>
      </c>
      <c r="D12" s="158" t="s">
        <v>41</v>
      </c>
    </row>
    <row r="13" spans="1:4" x14ac:dyDescent="0.2">
      <c r="A13" s="151"/>
      <c r="B13" s="151"/>
    </row>
    <row r="14" spans="1:4" x14ac:dyDescent="0.2">
      <c r="A14" s="164">
        <v>0.01</v>
      </c>
      <c r="B14" s="165">
        <v>50000</v>
      </c>
      <c r="C14" s="159">
        <f>B14</f>
        <v>50000</v>
      </c>
      <c r="D14" s="159">
        <f>B14*A14</f>
        <v>500</v>
      </c>
    </row>
    <row r="15" spans="1:4" x14ac:dyDescent="0.2">
      <c r="A15" s="164">
        <v>0.02</v>
      </c>
      <c r="B15" s="165">
        <v>50000</v>
      </c>
      <c r="C15" s="159">
        <f>C14+B15</f>
        <v>100000</v>
      </c>
      <c r="D15" s="159">
        <f>B15*A15+D14</f>
        <v>1500</v>
      </c>
    </row>
    <row r="16" spans="1:4" x14ac:dyDescent="0.2">
      <c r="A16" s="164">
        <v>0.03</v>
      </c>
      <c r="B16" s="165">
        <v>50000</v>
      </c>
      <c r="C16" s="159">
        <f t="shared" ref="C16:C17" si="0">C15+B16</f>
        <v>150000</v>
      </c>
      <c r="D16" s="159">
        <f t="shared" ref="D16:D17" si="1">B16*A16+D15</f>
        <v>3000</v>
      </c>
    </row>
    <row r="17" spans="1:4" x14ac:dyDescent="0.2">
      <c r="A17" s="164">
        <v>0.04</v>
      </c>
      <c r="B17" s="165">
        <v>50000</v>
      </c>
      <c r="C17" s="159">
        <f t="shared" si="0"/>
        <v>200000</v>
      </c>
      <c r="D17" s="159">
        <f t="shared" si="1"/>
        <v>5000</v>
      </c>
    </row>
    <row r="18" spans="1:4" x14ac:dyDescent="0.2">
      <c r="A18" s="164">
        <v>0.05</v>
      </c>
      <c r="B18" s="160" t="s">
        <v>38</v>
      </c>
      <c r="C18" s="159"/>
    </row>
    <row r="19" spans="1:4" x14ac:dyDescent="0.2">
      <c r="A19" s="156"/>
      <c r="B19" s="155"/>
    </row>
    <row r="20" spans="1:4" x14ac:dyDescent="0.2">
      <c r="A20" s="151"/>
      <c r="B20" s="151"/>
    </row>
    <row r="21" spans="1:4" x14ac:dyDescent="0.2">
      <c r="A21" s="177" t="s">
        <v>14</v>
      </c>
      <c r="B21" s="177"/>
    </row>
    <row r="22" spans="1:4" x14ac:dyDescent="0.2">
      <c r="A22" s="178" t="s">
        <v>2</v>
      </c>
      <c r="B22" s="178"/>
    </row>
    <row r="23" spans="1:4" x14ac:dyDescent="0.2">
      <c r="A23" s="151"/>
      <c r="B23" s="151"/>
    </row>
    <row r="24" spans="1:4" x14ac:dyDescent="0.2">
      <c r="A24" s="115" t="s">
        <v>21</v>
      </c>
      <c r="B24" s="115" t="s">
        <v>22</v>
      </c>
    </row>
    <row r="25" spans="1:4" x14ac:dyDescent="0.2">
      <c r="A25" s="119">
        <f>IF(IPC!D12&lt;D6,0,IF(IPC!D12&lt;=C14,IPC!D12*A14,IF(IPC!D12&lt;=C15,D14+(IPC!D12-C14)*A15,IF(IPC!D12&lt;=C16,D15+(IPC!D12-C15)*A16,IF(IPC!D12&lt;=C17,D16+(IPC!D12-C16)*A17,D17+(IPC!D12-C17)*A18)))))</f>
        <v>500</v>
      </c>
      <c r="B25" s="119">
        <f>IF(IPC!E12&lt;D6,0,IF(IPC!E12&lt;=C14,IPC!E12*A14,IF(IPC!E12&lt;=C15,D14+(IPC!E12-C14)*A15,IF(IPC!E12&lt;=C16,D15+(IPC!E12-C15)*A16,IF(IPC!E12&lt;=C17,D16+(IPC!E12-C16)*A17,D17+(IPC!E12-C17)*A18)))))</f>
        <v>400</v>
      </c>
    </row>
    <row r="26" spans="1:4" x14ac:dyDescent="0.2">
      <c r="A26" s="119">
        <f>IPC!$D$16*IPC!B17</f>
        <v>0</v>
      </c>
      <c r="B26" s="119">
        <f>IPC!$E$16*IPC!B17</f>
        <v>0</v>
      </c>
    </row>
    <row r="27" spans="1:4" x14ac:dyDescent="0.2">
      <c r="A27" s="119">
        <f>IPC!$D$16*IPC!B18</f>
        <v>0</v>
      </c>
      <c r="B27" s="119">
        <f>IPC!$E$16*IPC!B18</f>
        <v>0</v>
      </c>
    </row>
    <row r="28" spans="1:4" ht="13.5" customHeight="1" x14ac:dyDescent="0.2">
      <c r="A28" s="119"/>
      <c r="B28" s="109"/>
    </row>
    <row r="29" spans="1:4" x14ac:dyDescent="0.2">
      <c r="A29" s="119"/>
      <c r="B29" s="109"/>
    </row>
    <row r="30" spans="1:4" ht="20.25" x14ac:dyDescent="0.3">
      <c r="A30" s="166" t="s">
        <v>13</v>
      </c>
    </row>
    <row r="32" spans="1:4" x14ac:dyDescent="0.2">
      <c r="A32" s="152" t="s">
        <v>32</v>
      </c>
      <c r="B32" s="77"/>
      <c r="C32" s="77"/>
    </row>
    <row r="33" spans="1:3" ht="15" x14ac:dyDescent="0.2">
      <c r="A33" s="153" t="s">
        <v>43</v>
      </c>
      <c r="B33" s="146"/>
      <c r="C33" s="146"/>
    </row>
    <row r="34" spans="1:3" ht="15.75" x14ac:dyDescent="0.2">
      <c r="A34" s="154" t="s">
        <v>11</v>
      </c>
      <c r="B34" s="147"/>
      <c r="C34" s="148"/>
    </row>
    <row r="35" spans="1:3" ht="15" x14ac:dyDescent="0.2">
      <c r="A35" s="79" t="s">
        <v>5</v>
      </c>
      <c r="B35" s="80" t="s">
        <v>8</v>
      </c>
      <c r="C35" s="81" t="s">
        <v>7</v>
      </c>
    </row>
    <row r="36" spans="1:3" ht="15" x14ac:dyDescent="0.2">
      <c r="A36" s="82"/>
      <c r="B36" s="83" t="s">
        <v>9</v>
      </c>
      <c r="C36" s="84" t="s">
        <v>10</v>
      </c>
    </row>
    <row r="37" spans="1:3" ht="15" x14ac:dyDescent="0.2">
      <c r="A37" s="85">
        <v>0</v>
      </c>
      <c r="B37" s="86">
        <v>0</v>
      </c>
      <c r="C37" s="87">
        <v>0</v>
      </c>
    </row>
    <row r="38" spans="1:3" ht="15" x14ac:dyDescent="0.2">
      <c r="A38" s="85">
        <v>15200</v>
      </c>
      <c r="B38" s="86">
        <v>0</v>
      </c>
      <c r="C38" s="87">
        <v>0.77</v>
      </c>
    </row>
    <row r="39" spans="1:3" ht="15" x14ac:dyDescent="0.2">
      <c r="A39" s="85">
        <v>33200</v>
      </c>
      <c r="B39" s="86">
        <v>138.6</v>
      </c>
      <c r="C39" s="87">
        <v>0.88</v>
      </c>
    </row>
    <row r="40" spans="1:3" ht="15" x14ac:dyDescent="0.2">
      <c r="A40" s="85">
        <v>43500</v>
      </c>
      <c r="B40" s="86">
        <v>229.2</v>
      </c>
      <c r="C40" s="87">
        <v>2.64</v>
      </c>
    </row>
    <row r="41" spans="1:3" ht="15" x14ac:dyDescent="0.2">
      <c r="A41" s="85">
        <v>58000</v>
      </c>
      <c r="B41" s="86">
        <v>612</v>
      </c>
      <c r="C41" s="87">
        <v>2.97</v>
      </c>
    </row>
    <row r="42" spans="1:3" ht="15" x14ac:dyDescent="0.2">
      <c r="A42" s="85">
        <v>76100</v>
      </c>
      <c r="B42" s="86">
        <v>1149.55</v>
      </c>
      <c r="C42" s="87">
        <v>5.94</v>
      </c>
    </row>
    <row r="43" spans="1:3" ht="15" x14ac:dyDescent="0.2">
      <c r="A43" s="85">
        <v>82000</v>
      </c>
      <c r="B43" s="86">
        <v>1500</v>
      </c>
      <c r="C43" s="87">
        <v>6.6</v>
      </c>
    </row>
    <row r="44" spans="1:3" ht="15" x14ac:dyDescent="0.2">
      <c r="A44" s="85">
        <v>108800</v>
      </c>
      <c r="B44" s="86">
        <v>3268.8</v>
      </c>
      <c r="C44" s="87">
        <v>8.8000000000000007</v>
      </c>
    </row>
    <row r="45" spans="1:3" ht="15" x14ac:dyDescent="0.2">
      <c r="A45" s="85">
        <v>141500</v>
      </c>
      <c r="B45" s="86">
        <v>6146.4</v>
      </c>
      <c r="C45" s="87">
        <v>11</v>
      </c>
    </row>
    <row r="46" spans="1:3" ht="15" x14ac:dyDescent="0.2">
      <c r="A46" s="85">
        <v>184900</v>
      </c>
      <c r="B46" s="86">
        <v>10920.4</v>
      </c>
      <c r="C46" s="87">
        <v>13.2</v>
      </c>
    </row>
    <row r="47" spans="1:3" ht="15" x14ac:dyDescent="0.2">
      <c r="A47" s="85">
        <v>793400</v>
      </c>
      <c r="B47" s="86">
        <v>91241</v>
      </c>
      <c r="C47" s="87">
        <v>11.5</v>
      </c>
    </row>
    <row r="48" spans="1:3" ht="15" x14ac:dyDescent="0.2">
      <c r="A48" s="88"/>
      <c r="B48" s="89"/>
      <c r="C48" s="90"/>
    </row>
    <row r="49" spans="1:3" ht="15" x14ac:dyDescent="0.2">
      <c r="A49" s="91"/>
      <c r="B49" s="91"/>
      <c r="C49" s="91"/>
    </row>
    <row r="50" spans="1:3" ht="15.75" x14ac:dyDescent="0.2">
      <c r="A50" s="154" t="s">
        <v>12</v>
      </c>
      <c r="B50" s="147"/>
      <c r="C50" s="148"/>
    </row>
    <row r="51" spans="1:3" ht="15" x14ac:dyDescent="0.2">
      <c r="A51" s="79" t="s">
        <v>5</v>
      </c>
      <c r="B51" s="80" t="s">
        <v>8</v>
      </c>
      <c r="C51" s="81" t="s">
        <v>7</v>
      </c>
    </row>
    <row r="52" spans="1:3" ht="15" x14ac:dyDescent="0.2">
      <c r="A52" s="82"/>
      <c r="B52" s="83" t="s">
        <v>9</v>
      </c>
      <c r="C52" s="84" t="s">
        <v>10</v>
      </c>
    </row>
    <row r="53" spans="1:3" ht="15" x14ac:dyDescent="0.2">
      <c r="A53" s="85">
        <v>0</v>
      </c>
      <c r="B53" s="86">
        <v>0</v>
      </c>
      <c r="C53" s="87">
        <v>0</v>
      </c>
    </row>
    <row r="54" spans="1:3" ht="15" x14ac:dyDescent="0.2">
      <c r="A54" s="85">
        <v>29700</v>
      </c>
      <c r="B54" s="86">
        <v>0</v>
      </c>
      <c r="C54" s="87">
        <v>1</v>
      </c>
    </row>
    <row r="55" spans="1:3" ht="15" x14ac:dyDescent="0.2">
      <c r="A55" s="85">
        <v>53400</v>
      </c>
      <c r="B55" s="86">
        <v>237</v>
      </c>
      <c r="C55" s="87">
        <v>2</v>
      </c>
    </row>
    <row r="56" spans="1:3" ht="15" x14ac:dyDescent="0.2">
      <c r="A56" s="85">
        <v>61300</v>
      </c>
      <c r="B56" s="86">
        <v>395</v>
      </c>
      <c r="C56" s="87">
        <v>3</v>
      </c>
    </row>
    <row r="57" spans="1:3" ht="15" x14ac:dyDescent="0.2">
      <c r="A57" s="85">
        <v>79100</v>
      </c>
      <c r="B57" s="86">
        <v>929</v>
      </c>
      <c r="C57" s="87">
        <v>4</v>
      </c>
    </row>
    <row r="58" spans="1:3" ht="15" x14ac:dyDescent="0.2">
      <c r="A58" s="85">
        <v>94900</v>
      </c>
      <c r="B58" s="86">
        <v>1561</v>
      </c>
      <c r="C58" s="87">
        <v>5</v>
      </c>
    </row>
    <row r="59" spans="1:3" ht="15" x14ac:dyDescent="0.2">
      <c r="A59" s="85">
        <v>108600</v>
      </c>
      <c r="B59" s="86">
        <v>2246</v>
      </c>
      <c r="C59" s="87">
        <v>6</v>
      </c>
    </row>
    <row r="60" spans="1:3" ht="15" x14ac:dyDescent="0.2">
      <c r="A60" s="85">
        <v>120500</v>
      </c>
      <c r="B60" s="86">
        <v>2960</v>
      </c>
      <c r="C60" s="87">
        <v>7</v>
      </c>
    </row>
    <row r="61" spans="1:3" ht="15" x14ac:dyDescent="0.2">
      <c r="A61" s="85">
        <v>130500</v>
      </c>
      <c r="B61" s="86">
        <v>3660</v>
      </c>
      <c r="C61" s="87">
        <v>8</v>
      </c>
    </row>
    <row r="62" spans="1:3" ht="15" x14ac:dyDescent="0.2">
      <c r="A62" s="85">
        <v>138300</v>
      </c>
      <c r="B62" s="86">
        <v>4284</v>
      </c>
      <c r="C62" s="87">
        <v>9</v>
      </c>
    </row>
    <row r="63" spans="1:3" ht="15" x14ac:dyDescent="0.2">
      <c r="A63" s="85">
        <v>144200</v>
      </c>
      <c r="B63" s="86">
        <v>4815</v>
      </c>
      <c r="C63" s="87">
        <v>10</v>
      </c>
    </row>
    <row r="64" spans="1:3" ht="15" x14ac:dyDescent="0.2">
      <c r="A64" s="85">
        <v>148200</v>
      </c>
      <c r="B64" s="86">
        <v>5215</v>
      </c>
      <c r="C64" s="87">
        <v>11</v>
      </c>
    </row>
    <row r="65" spans="1:3" ht="15" x14ac:dyDescent="0.2">
      <c r="A65" s="85">
        <v>150300</v>
      </c>
      <c r="B65" s="86">
        <v>5446</v>
      </c>
      <c r="C65" s="87">
        <v>12</v>
      </c>
    </row>
    <row r="66" spans="1:3" ht="15" x14ac:dyDescent="0.2">
      <c r="A66" s="85">
        <v>152300</v>
      </c>
      <c r="B66" s="86">
        <v>5686</v>
      </c>
      <c r="C66" s="87">
        <v>13</v>
      </c>
    </row>
    <row r="67" spans="1:3" ht="15" x14ac:dyDescent="0.2">
      <c r="A67" s="85">
        <v>940900</v>
      </c>
      <c r="B67" s="86">
        <v>108203.5</v>
      </c>
      <c r="C67" s="87">
        <v>11.5</v>
      </c>
    </row>
    <row r="68" spans="1:3" ht="15" x14ac:dyDescent="0.2">
      <c r="A68" s="88"/>
      <c r="B68" s="89"/>
      <c r="C68" s="90"/>
    </row>
  </sheetData>
  <mergeCells count="2">
    <mergeCell ref="A21:B21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abSelected="1" view="pageLayout" zoomScaleNormal="100" workbookViewId="0">
      <selection activeCell="B6" sqref="B6:C6"/>
    </sheetView>
  </sheetViews>
  <sheetFormatPr baseColWidth="10" defaultRowHeight="12.75" x14ac:dyDescent="0.2"/>
  <cols>
    <col min="1" max="1" width="17.85546875" style="77" customWidth="1"/>
    <col min="2" max="2" width="12.42578125" style="77" customWidth="1"/>
    <col min="3" max="3" width="12.140625" style="77" customWidth="1"/>
    <col min="4" max="5" width="21.42578125" style="77" customWidth="1"/>
    <col min="6" max="6" width="13.7109375" style="77" customWidth="1"/>
    <col min="7" max="7" width="44" style="77" customWidth="1"/>
    <col min="8" max="8" width="8.85546875" style="77" customWidth="1"/>
    <col min="9" max="11" width="11.42578125" style="77" customWidth="1"/>
    <col min="12" max="16384" width="11.42578125" style="77"/>
  </cols>
  <sheetData>
    <row r="1" spans="1:6" s="1" customFormat="1" ht="20.25" x14ac:dyDescent="0.2">
      <c r="A1" s="149" t="s">
        <v>33</v>
      </c>
      <c r="B1" s="92"/>
      <c r="C1" s="92"/>
      <c r="D1" s="92"/>
      <c r="E1" s="92"/>
    </row>
    <row r="2" spans="1:6" s="1" customFormat="1" ht="20.25" x14ac:dyDescent="0.2">
      <c r="A2" s="95" t="s">
        <v>34</v>
      </c>
      <c r="B2" s="92"/>
      <c r="C2" s="92"/>
      <c r="D2" s="92"/>
      <c r="E2" s="92"/>
    </row>
    <row r="3" spans="1:6" s="97" customFormat="1" ht="18" customHeight="1" x14ac:dyDescent="0.2">
      <c r="A3" s="98" t="s">
        <v>44</v>
      </c>
      <c r="D3" s="98"/>
    </row>
    <row r="4" spans="1:6" s="97" customFormat="1" ht="18" customHeight="1" x14ac:dyDescent="0.2">
      <c r="A4" s="97" t="s">
        <v>45</v>
      </c>
      <c r="D4" s="98"/>
    </row>
    <row r="5" spans="1:6" s="1" customFormat="1" ht="18" customHeight="1" x14ac:dyDescent="0.2">
      <c r="A5" s="96"/>
    </row>
    <row r="6" spans="1:6" ht="18" customHeight="1" x14ac:dyDescent="0.2">
      <c r="A6" s="77" t="s">
        <v>24</v>
      </c>
      <c r="B6" s="179">
        <v>50000</v>
      </c>
      <c r="C6" s="179"/>
      <c r="D6" s="99"/>
      <c r="E6" s="78" t="s">
        <v>29</v>
      </c>
    </row>
    <row r="7" spans="1:6" ht="18" customHeight="1" x14ac:dyDescent="0.2">
      <c r="C7" s="100"/>
      <c r="D7" s="99"/>
      <c r="E7" s="78" t="s">
        <v>42</v>
      </c>
    </row>
    <row r="8" spans="1:6" ht="18" customHeight="1" x14ac:dyDescent="0.2"/>
    <row r="9" spans="1:6" ht="18" customHeight="1" thickBot="1" x14ac:dyDescent="0.25">
      <c r="F9" s="150"/>
    </row>
    <row r="10" spans="1:6" s="101" customFormat="1" ht="42.75" customHeight="1" x14ac:dyDescent="0.2">
      <c r="A10" s="102"/>
      <c r="B10" s="102"/>
      <c r="C10" s="103"/>
      <c r="D10" s="104" t="s">
        <v>19</v>
      </c>
      <c r="E10" s="105" t="s">
        <v>20</v>
      </c>
    </row>
    <row r="11" spans="1:6" ht="12" customHeight="1" x14ac:dyDescent="0.2">
      <c r="C11" s="106"/>
      <c r="D11" s="107"/>
      <c r="E11" s="108"/>
    </row>
    <row r="12" spans="1:6" s="109" customFormat="1" ht="18.600000000000001" customHeight="1" x14ac:dyDescent="0.2">
      <c r="B12" s="109" t="s">
        <v>25</v>
      </c>
      <c r="C12" s="110"/>
      <c r="D12" s="141">
        <f>FLOOR(MAX(($B$6),0),100)</f>
        <v>50000</v>
      </c>
      <c r="E12" s="142">
        <f>FLOOR(MAX(($B$6-Paramètres!$D$8),0),100)</f>
        <v>40000</v>
      </c>
    </row>
    <row r="13" spans="1:6" s="109" customFormat="1" ht="12" customHeight="1" x14ac:dyDescent="0.2">
      <c r="A13" s="121"/>
      <c r="B13" s="121"/>
      <c r="C13" s="123"/>
      <c r="D13" s="111"/>
      <c r="E13" s="112"/>
    </row>
    <row r="14" spans="1:6" s="109" customFormat="1" ht="12" customHeight="1" x14ac:dyDescent="0.2">
      <c r="C14" s="110"/>
      <c r="D14" s="141"/>
      <c r="E14" s="142"/>
    </row>
    <row r="15" spans="1:6" s="109" customFormat="1" ht="18.600000000000001" customHeight="1" x14ac:dyDescent="0.2">
      <c r="B15" s="151" t="s">
        <v>1</v>
      </c>
      <c r="C15" s="110"/>
      <c r="D15" s="113" t="s">
        <v>16</v>
      </c>
      <c r="E15" s="114" t="s">
        <v>16</v>
      </c>
    </row>
    <row r="16" spans="1:6" s="109" customFormat="1" ht="18.600000000000001" customHeight="1" x14ac:dyDescent="0.2">
      <c r="A16" s="109" t="s">
        <v>0</v>
      </c>
      <c r="B16" s="116">
        <v>1</v>
      </c>
      <c r="C16" s="110"/>
      <c r="D16" s="117">
        <f>ROUND(Paramètres!A25*20,0)/20</f>
        <v>500</v>
      </c>
      <c r="E16" s="118">
        <f>ROUND(Paramètres!B25*20,0)/20</f>
        <v>400</v>
      </c>
    </row>
    <row r="17" spans="1:9" s="109" customFormat="1" ht="18.600000000000001" customHeight="1" x14ac:dyDescent="0.2">
      <c r="A17" s="109" t="s">
        <v>3</v>
      </c>
      <c r="B17" s="120">
        <v>0</v>
      </c>
      <c r="C17" s="110"/>
      <c r="D17" s="117">
        <f>ROUND(Paramètres!A26*20,0)/20</f>
        <v>0</v>
      </c>
      <c r="E17" s="118">
        <f>ROUND(Paramètres!B26*20,0)/20</f>
        <v>0</v>
      </c>
    </row>
    <row r="18" spans="1:9" s="109" customFormat="1" ht="18.600000000000001" customHeight="1" x14ac:dyDescent="0.2">
      <c r="A18" s="109" t="s">
        <v>4</v>
      </c>
      <c r="B18" s="120">
        <v>0</v>
      </c>
      <c r="C18" s="110"/>
      <c r="D18" s="117">
        <f>ROUND(Paramètres!A27*20,0)/20</f>
        <v>0</v>
      </c>
      <c r="E18" s="118">
        <f>ROUND(Paramètres!B27*20,0)/20</f>
        <v>0</v>
      </c>
    </row>
    <row r="19" spans="1:9" s="109" customFormat="1" ht="12" customHeight="1" x14ac:dyDescent="0.2">
      <c r="A19" s="121"/>
      <c r="B19" s="122"/>
      <c r="C19" s="123"/>
      <c r="D19" s="124"/>
      <c r="E19" s="125"/>
      <c r="F19" s="119"/>
      <c r="I19" s="126"/>
    </row>
    <row r="20" spans="1:9" s="109" customFormat="1" ht="12" customHeight="1" x14ac:dyDescent="0.2">
      <c r="C20" s="110"/>
      <c r="D20" s="117"/>
      <c r="E20" s="114"/>
    </row>
    <row r="21" spans="1:9" s="109" customFormat="1" ht="18.600000000000001" customHeight="1" x14ac:dyDescent="0.2">
      <c r="A21" s="127" t="s">
        <v>27</v>
      </c>
      <c r="C21" s="128" t="s">
        <v>6</v>
      </c>
      <c r="D21" s="129">
        <f>SUM(D16:D18)</f>
        <v>500</v>
      </c>
      <c r="E21" s="130">
        <f>SUM(E16:E18)</f>
        <v>400</v>
      </c>
    </row>
    <row r="22" spans="1:9" s="109" customFormat="1" ht="18" customHeight="1" x14ac:dyDescent="0.2">
      <c r="C22" s="128"/>
      <c r="D22" s="129"/>
      <c r="E22" s="114"/>
    </row>
    <row r="23" spans="1:9" s="109" customFormat="1" ht="18" customHeight="1" x14ac:dyDescent="0.2">
      <c r="C23" s="128"/>
      <c r="D23" s="129"/>
      <c r="E23" s="114"/>
    </row>
    <row r="24" spans="1:9" s="109" customFormat="1" ht="18.600000000000001" customHeight="1" x14ac:dyDescent="0.2">
      <c r="A24" s="131" t="s">
        <v>28</v>
      </c>
      <c r="C24" s="128"/>
      <c r="D24" s="113"/>
      <c r="E24" s="114"/>
    </row>
    <row r="25" spans="1:9" s="109" customFormat="1" ht="18.600000000000001" customHeight="1" x14ac:dyDescent="0.2">
      <c r="B25" s="109" t="s">
        <v>25</v>
      </c>
      <c r="C25" s="128"/>
      <c r="D25" s="132">
        <f>FLOOR(B6,100)</f>
        <v>50000</v>
      </c>
      <c r="E25" s="133">
        <f>FLOOR(B6,100)</f>
        <v>50000</v>
      </c>
    </row>
    <row r="26" spans="1:9" s="109" customFormat="1" ht="18.600000000000001" customHeight="1" x14ac:dyDescent="0.2">
      <c r="A26" s="143"/>
      <c r="C26" s="128" t="s">
        <v>17</v>
      </c>
      <c r="D26" s="144">
        <f>D30/D25</f>
        <v>1.603E-3</v>
      </c>
      <c r="E26" s="145">
        <f>E30/E25</f>
        <v>8.12E-4</v>
      </c>
    </row>
    <row r="27" spans="1:9" s="109" customFormat="1" ht="12" customHeight="1" x14ac:dyDescent="0.2">
      <c r="A27" s="121"/>
      <c r="B27" s="121"/>
      <c r="C27" s="123"/>
      <c r="D27" s="111"/>
      <c r="E27" s="112"/>
      <c r="G27" s="151"/>
      <c r="H27" s="151"/>
    </row>
    <row r="28" spans="1:9" s="109" customFormat="1" ht="12" customHeight="1" x14ac:dyDescent="0.2">
      <c r="C28" s="110"/>
      <c r="D28" s="141"/>
      <c r="E28" s="142"/>
      <c r="G28" s="151"/>
      <c r="H28" s="151"/>
    </row>
    <row r="29" spans="1:9" s="109" customFormat="1" ht="18.600000000000001" customHeight="1" x14ac:dyDescent="0.2">
      <c r="C29" s="128"/>
      <c r="D29" s="113" t="s">
        <v>16</v>
      </c>
      <c r="E29" s="114" t="s">
        <v>16</v>
      </c>
    </row>
    <row r="30" spans="1:9" s="109" customFormat="1" ht="18.600000000000001" customHeight="1" x14ac:dyDescent="0.2">
      <c r="C30" s="128" t="s">
        <v>18</v>
      </c>
      <c r="D30" s="134">
        <f>ROUND(FLOOR(VLOOKUP(FLOOR(D25,100),Paramètres!$A$37:$C$48,2)+(FLOOR(D25,100)-VLOOKUP(FLOOR(D25,100),Paramètres!$A$37:$C$48,1))/100*VLOOKUP(FLOOR(D25,100),Paramètres!$A$37:$C$48,3),0.05)/5*20,0)/20</f>
        <v>80.150000000000006</v>
      </c>
      <c r="E30" s="135">
        <f>FLOOR(VLOOKUP(FLOOR(E25,100),Paramètres!$A$53:$C$68,2)+(FLOOR(E25,100)-VLOOKUP(FLOOR(E25,100),Paramètres!$A$53:$C$68,1))/100*VLOOKUP(FLOOR(E25,100),Paramètres!$A$53:$C$68,3),0.05)/5</f>
        <v>40.6</v>
      </c>
    </row>
    <row r="31" spans="1:9" s="109" customFormat="1" ht="12" customHeight="1" x14ac:dyDescent="0.2">
      <c r="C31" s="110"/>
      <c r="D31" s="134"/>
      <c r="E31" s="135"/>
    </row>
    <row r="32" spans="1:9" s="109" customFormat="1" ht="25.5" customHeight="1" x14ac:dyDescent="0.2">
      <c r="A32" s="136" t="s">
        <v>26</v>
      </c>
      <c r="B32" s="137"/>
      <c r="C32" s="138"/>
      <c r="D32" s="139">
        <f>SUM(D21,D30)</f>
        <v>580.15</v>
      </c>
      <c r="E32" s="140">
        <f>SUM(E21,E30)</f>
        <v>440.6</v>
      </c>
    </row>
    <row r="33" spans="1:5" s="1" customFormat="1" ht="18" customHeight="1" x14ac:dyDescent="0.2">
      <c r="D33" s="93"/>
      <c r="E33" s="94"/>
    </row>
    <row r="34" spans="1:5" ht="12.75" customHeight="1" x14ac:dyDescent="0.2">
      <c r="A34" s="168" t="str">
        <f ca="1">CELL("nomfichier")</f>
        <v>https://etatfr-my.sharepoint.com/personal/marion_bongard_fr_ch/Documents/Bureau/Site Internet - janvier 2025/[Calculette Internet Prestations en capital 2025 - f.xlsx]IPC</v>
      </c>
    </row>
    <row r="35" spans="1:5" ht="12.75" customHeight="1" x14ac:dyDescent="0.2"/>
  </sheetData>
  <sheetProtection sheet="1" selectLockedCells="1"/>
  <mergeCells count="1">
    <mergeCell ref="B6:C6"/>
  </mergeCells>
  <pageMargins left="0.98425196850393704" right="0.59055118110236227" top="1.5748031496062993" bottom="1.1811023622047245" header="0.31496062992125984" footer="0.35433070866141736"/>
  <pageSetup paperSize="9" orientation="portrait" r:id="rId1"/>
  <headerFooter differentFirst="1">
    <oddHeader>&amp;L&amp;G Service cantonal des contributions SCC
       Page &amp;P de &amp;N</oddHeader>
    <firstHeader>&amp;L&amp;G&amp;R&amp;"Arial,Gras"&amp;8Service cantonal des contributions&amp;"Arial,Normal" SCC
&amp;"Arial,Gras"Kantonale Steuerverwaltung&amp;"Arial,Normal" KSTV</firstHeader>
    <firstFooter>&amp;L&amp;8—
Direction des finances &amp;"Arial,Gras"DFIN&amp;"Arial,Normal"
Finanzdirektion &amp;"Arial,Gras"FIND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IPC dès 2011 f</vt:lpstr>
      <vt:lpstr>Paramètres</vt:lpstr>
      <vt:lpstr>IPC</vt:lpstr>
      <vt:lpstr>'IPC dès 2011 f'!Zone_d_impression</vt:lpstr>
    </vt:vector>
  </TitlesOfParts>
  <Company>Etat de Fribourg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Girard Michel</dc:creator>
  <cp:lastModifiedBy>Bongard Marion</cp:lastModifiedBy>
  <cp:lastPrinted>2015-11-03T14:19:48Z</cp:lastPrinted>
  <dcterms:created xsi:type="dcterms:W3CDTF">2004-01-28T11:17:10Z</dcterms:created>
  <dcterms:modified xsi:type="dcterms:W3CDTF">2025-01-09T13:16:58Z</dcterms:modified>
</cp:coreProperties>
</file>