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omments5.xml" ContentType="application/vnd.openxmlformats-officedocument.spreadsheetml.comments+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6" windowWidth="9276" windowHeight="5196" firstSheet="2" activeTab="6"/>
  </bookViews>
  <sheets>
    <sheet name="Table des matières" sheetId="31" r:id="rId1"/>
    <sheet name="B1 tâches de référence" sheetId="27" r:id="rId2"/>
    <sheet name="B2 données 2011" sheetId="11" r:id="rId3"/>
    <sheet name="B3 données 2012" sheetId="26" r:id="rId4"/>
    <sheet name="B4 données 2013" sheetId="41" r:id="rId5"/>
    <sheet name="B5 POND version  GC" sheetId="39" r:id="rId6"/>
    <sheet name="B6 POND (2) Copil 2007" sheetId="44" r:id="rId7"/>
    <sheet name="B7 Performance corr fusions" sheetId="37" r:id="rId8"/>
    <sheet name="B8 Incidences " sheetId="38" r:id="rId9"/>
    <sheet name="B9 graphique (par hab.)" sheetId="43" r:id="rId10"/>
    <sheet name="B10 graphiques  (% dép. init.)" sheetId="36" r:id="rId11"/>
    <sheet name="B11 graphiques  (PF)" sheetId="40" r:id="rId12"/>
  </sheets>
  <externalReferences>
    <externalReference r:id="rId13"/>
    <externalReference r:id="rId14"/>
    <externalReference r:id="rId15"/>
  </externalReferences>
  <definedNames>
    <definedName name="_xlnm.Print_Titles" localSheetId="2">'B2 données 2011'!$A:$B,'B2 données 2011'!$1:$6</definedName>
    <definedName name="_xlnm.Print_Titles" localSheetId="3">'B3 données 2012'!$A:$B,'B3 données 2012'!$1:$6</definedName>
    <definedName name="_xlnm.Print_Titles" localSheetId="4">'B4 données 2013'!$A:$B,'B4 données 2013'!$1:$6</definedName>
  </definedNames>
  <calcPr calcId="145621"/>
</workbook>
</file>

<file path=xl/calcChain.xml><?xml version="1.0" encoding="utf-8"?>
<calcChain xmlns="http://schemas.openxmlformats.org/spreadsheetml/2006/main">
  <c r="E24" i="27" l="1"/>
  <c r="G24" i="27"/>
  <c r="C24" i="27"/>
  <c r="G29" i="27" l="1"/>
  <c r="E29" i="27"/>
  <c r="C29" i="27"/>
  <c r="K26" i="44" l="1"/>
  <c r="K22" i="44"/>
  <c r="K23" i="44"/>
  <c r="K24" i="44"/>
  <c r="K25" i="44"/>
  <c r="K21" i="44"/>
  <c r="D49" i="44" l="1"/>
  <c r="C49" i="44"/>
  <c r="E34" i="44" l="1"/>
  <c r="E25" i="44"/>
  <c r="E24" i="44"/>
  <c r="E23" i="44"/>
  <c r="E22" i="44"/>
  <c r="E21" i="44"/>
  <c r="D12" i="44"/>
  <c r="C12" i="44"/>
  <c r="B12" i="44"/>
  <c r="E12" i="44" s="1"/>
  <c r="D11" i="44"/>
  <c r="C11" i="44"/>
  <c r="B11" i="44"/>
  <c r="F11" i="44" s="1"/>
  <c r="D10" i="44"/>
  <c r="C10" i="44"/>
  <c r="B10" i="44"/>
  <c r="D9" i="44"/>
  <c r="E9" i="44" s="1"/>
  <c r="C9" i="44"/>
  <c r="B9" i="44"/>
  <c r="D8" i="44"/>
  <c r="C8" i="44"/>
  <c r="B8" i="44"/>
  <c r="I9" i="44" l="1"/>
  <c r="I14" i="44" s="1"/>
  <c r="E10" i="44"/>
  <c r="H11" i="44"/>
  <c r="H14" i="44" s="1"/>
  <c r="H12" i="44"/>
  <c r="J8" i="44"/>
  <c r="J14" i="44" s="1"/>
  <c r="F24" i="44"/>
  <c r="I22" i="44"/>
  <c r="I26" i="44" s="1"/>
  <c r="I28" i="44" s="1"/>
  <c r="F10" i="44"/>
  <c r="E11" i="44"/>
  <c r="F12" i="44"/>
  <c r="E26" i="44"/>
  <c r="E8" i="44"/>
  <c r="E13" i="44" s="1"/>
  <c r="G12" i="44"/>
  <c r="G25" i="44"/>
  <c r="G11" i="44"/>
  <c r="I20" i="40"/>
  <c r="K18" i="36"/>
  <c r="C223" i="43"/>
  <c r="F6" i="43"/>
  <c r="H24" i="44" l="1"/>
  <c r="G24" i="44"/>
  <c r="G26" i="44" s="1"/>
  <c r="G28" i="44" s="1"/>
  <c r="F23" i="44"/>
  <c r="G14" i="44"/>
  <c r="F26" i="44"/>
  <c r="F28" i="44" s="1"/>
  <c r="H25" i="44"/>
  <c r="H26" i="44" s="1"/>
  <c r="H28" i="44" s="1"/>
  <c r="F25" i="44"/>
  <c r="F14" i="44"/>
  <c r="J21" i="44"/>
  <c r="J26" i="44" s="1"/>
  <c r="J28" i="44" s="1"/>
  <c r="E28" i="44" l="1"/>
  <c r="E14" i="44"/>
  <c r="G15" i="44"/>
  <c r="G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94" i="38"/>
  <c r="M95" i="38"/>
  <c r="M96" i="38"/>
  <c r="M97" i="38"/>
  <c r="M98" i="38"/>
  <c r="M99" i="38"/>
  <c r="M100" i="38"/>
  <c r="M101" i="38"/>
  <c r="M102" i="38"/>
  <c r="M103" i="38"/>
  <c r="M104" i="38"/>
  <c r="M105" i="38"/>
  <c r="M106" i="38"/>
  <c r="M107" i="38"/>
  <c r="M108" i="38"/>
  <c r="M109" i="38"/>
  <c r="M110" i="38"/>
  <c r="M111" i="38"/>
  <c r="M112" i="38"/>
  <c r="M113" i="38"/>
  <c r="M114" i="38"/>
  <c r="M115" i="38"/>
  <c r="M116" i="38"/>
  <c r="M117" i="38"/>
  <c r="M118" i="38"/>
  <c r="M119" i="38"/>
  <c r="M120" i="38"/>
  <c r="M121" i="38"/>
  <c r="M122" i="38"/>
  <c r="M123" i="38"/>
  <c r="M124" i="38"/>
  <c r="M125" i="38"/>
  <c r="M126" i="38"/>
  <c r="M127" i="38"/>
  <c r="M128" i="38"/>
  <c r="M129" i="38"/>
  <c r="M130" i="38"/>
  <c r="M131" i="38"/>
  <c r="M132" i="38"/>
  <c r="M133" i="38"/>
  <c r="M134" i="38"/>
  <c r="M135" i="38"/>
  <c r="M136" i="38"/>
  <c r="M137" i="38"/>
  <c r="M138" i="38"/>
  <c r="M139" i="38"/>
  <c r="M140" i="38"/>
  <c r="M141" i="38"/>
  <c r="M142" i="38"/>
  <c r="M143" i="38"/>
  <c r="M144" i="38"/>
  <c r="M145" i="38"/>
  <c r="M146" i="38"/>
  <c r="M147" i="38"/>
  <c r="M148" i="38"/>
  <c r="M149" i="38"/>
  <c r="M150" i="38"/>
  <c r="M151" i="38"/>
  <c r="M152" i="38"/>
  <c r="M153" i="38"/>
  <c r="M154" i="38"/>
  <c r="M155" i="38"/>
  <c r="M156" i="38"/>
  <c r="M157" i="38"/>
  <c r="M158" i="38"/>
  <c r="M159" i="38"/>
  <c r="M160" i="38"/>
  <c r="M161" i="38"/>
  <c r="M162" i="38"/>
  <c r="M163" i="38"/>
  <c r="M164" i="38"/>
  <c r="M165" i="38"/>
  <c r="M166" i="38"/>
  <c r="M167" i="38"/>
  <c r="M168" i="38"/>
  <c r="M169" i="38"/>
  <c r="M170" i="38"/>
  <c r="M8" i="38"/>
  <c r="I15" i="44" l="1"/>
  <c r="H15" i="44"/>
  <c r="J15" i="44"/>
  <c r="F15" i="44"/>
  <c r="P171" i="37"/>
  <c r="Q171" i="37"/>
  <c r="O171" i="37"/>
  <c r="E15" i="44" l="1"/>
  <c r="G4" i="38" l="1"/>
  <c r="G9" i="38" l="1"/>
  <c r="G10" i="38"/>
  <c r="G11" i="38"/>
  <c r="G12" i="38"/>
  <c r="G13" i="38"/>
  <c r="G14" i="38"/>
  <c r="G15" i="38"/>
  <c r="G16" i="38"/>
  <c r="G17" i="38"/>
  <c r="G18" i="38"/>
  <c r="G19" i="38"/>
  <c r="G20" i="38"/>
  <c r="G21" i="38"/>
  <c r="G22" i="38"/>
  <c r="G23" i="38"/>
  <c r="G24" i="38"/>
  <c r="G25" i="38"/>
  <c r="G26" i="38"/>
  <c r="G27" i="38"/>
  <c r="G28" i="38"/>
  <c r="G29" i="38"/>
  <c r="G30" i="38"/>
  <c r="G31" i="38"/>
  <c r="G32" i="38"/>
  <c r="G33" i="38"/>
  <c r="G34" i="38"/>
  <c r="G35" i="38"/>
  <c r="G36" i="38"/>
  <c r="G37" i="38"/>
  <c r="G38" i="38"/>
  <c r="G39" i="38"/>
  <c r="G40" i="38"/>
  <c r="G41" i="38"/>
  <c r="G42" i="38"/>
  <c r="G43" i="38"/>
  <c r="G44" i="38"/>
  <c r="G45" i="38"/>
  <c r="G46" i="38"/>
  <c r="G47" i="38"/>
  <c r="G48" i="38"/>
  <c r="G49" i="38"/>
  <c r="G50" i="38"/>
  <c r="G51" i="38"/>
  <c r="G52" i="38"/>
  <c r="G53" i="38"/>
  <c r="G54" i="38"/>
  <c r="G55" i="38"/>
  <c r="G56" i="38"/>
  <c r="G57" i="38"/>
  <c r="G58" i="38"/>
  <c r="G59" i="38"/>
  <c r="G60" i="38"/>
  <c r="G61" i="38"/>
  <c r="G62" i="38"/>
  <c r="G63" i="38"/>
  <c r="G64" i="38"/>
  <c r="G65" i="38"/>
  <c r="G66" i="38"/>
  <c r="G67" i="38"/>
  <c r="G68" i="38"/>
  <c r="G69" i="38"/>
  <c r="G70" i="38"/>
  <c r="G71" i="38"/>
  <c r="G72" i="38"/>
  <c r="G73" i="38"/>
  <c r="G74" i="38"/>
  <c r="G75" i="38"/>
  <c r="G76" i="38"/>
  <c r="G77" i="38"/>
  <c r="G78" i="38"/>
  <c r="G79" i="38"/>
  <c r="G80" i="38"/>
  <c r="G81" i="38"/>
  <c r="G82" i="38"/>
  <c r="G83" i="38"/>
  <c r="G84" i="38"/>
  <c r="G85" i="38"/>
  <c r="G86" i="38"/>
  <c r="G87" i="38"/>
  <c r="G88" i="38"/>
  <c r="G89" i="38"/>
  <c r="G90" i="38"/>
  <c r="G91" i="38"/>
  <c r="G92" i="38"/>
  <c r="G93" i="38"/>
  <c r="G94" i="38"/>
  <c r="G95" i="38"/>
  <c r="G96" i="38"/>
  <c r="G97" i="38"/>
  <c r="G98" i="38"/>
  <c r="G99" i="38"/>
  <c r="G100" i="38"/>
  <c r="G101" i="38"/>
  <c r="G102" i="38"/>
  <c r="G103" i="38"/>
  <c r="G104" i="38"/>
  <c r="G105" i="38"/>
  <c r="G106" i="38"/>
  <c r="G107" i="38"/>
  <c r="G108" i="38"/>
  <c r="G109" i="38"/>
  <c r="G110" i="38"/>
  <c r="G111" i="38"/>
  <c r="G112" i="38"/>
  <c r="G113" i="38"/>
  <c r="G114" i="38"/>
  <c r="G115" i="38"/>
  <c r="G116" i="38"/>
  <c r="G117" i="38"/>
  <c r="G118" i="38"/>
  <c r="G119" i="38"/>
  <c r="G120" i="38"/>
  <c r="G121" i="38"/>
  <c r="G122" i="38"/>
  <c r="G123" i="38"/>
  <c r="G124" i="38"/>
  <c r="G125" i="38"/>
  <c r="G126" i="38"/>
  <c r="G127" i="38"/>
  <c r="G128" i="38"/>
  <c r="G129" i="38"/>
  <c r="G130" i="38"/>
  <c r="G131" i="38"/>
  <c r="G132" i="38"/>
  <c r="G133" i="38"/>
  <c r="G134" i="38"/>
  <c r="G135" i="38"/>
  <c r="G136" i="38"/>
  <c r="G137" i="38"/>
  <c r="G138" i="38"/>
  <c r="G139" i="38"/>
  <c r="G140" i="38"/>
  <c r="G141" i="38"/>
  <c r="G142" i="38"/>
  <c r="G143" i="38"/>
  <c r="G144" i="38"/>
  <c r="G145" i="38"/>
  <c r="G146" i="38"/>
  <c r="G147" i="38"/>
  <c r="G148" i="38"/>
  <c r="G149" i="38"/>
  <c r="G150" i="38"/>
  <c r="G151" i="38"/>
  <c r="G152" i="38"/>
  <c r="G153" i="38"/>
  <c r="G154" i="38"/>
  <c r="G155" i="38"/>
  <c r="G156" i="38"/>
  <c r="G157" i="38"/>
  <c r="G158" i="38"/>
  <c r="G159" i="38"/>
  <c r="G160" i="38"/>
  <c r="G161" i="38"/>
  <c r="G162" i="38"/>
  <c r="G163" i="38"/>
  <c r="G164" i="38"/>
  <c r="G165" i="38"/>
  <c r="G166" i="38"/>
  <c r="G167" i="38"/>
  <c r="G168" i="38"/>
  <c r="G169" i="38"/>
  <c r="G170" i="38"/>
  <c r="G20" i="27" l="1"/>
  <c r="E20" i="27"/>
  <c r="C20" i="27"/>
  <c r="G12" i="27"/>
  <c r="G11" i="27"/>
  <c r="G9" i="27"/>
  <c r="G8" i="27"/>
  <c r="G7" i="27"/>
  <c r="G5" i="27"/>
  <c r="G4" i="27"/>
  <c r="G3" i="27"/>
  <c r="G21" i="27" l="1"/>
  <c r="E19" i="39"/>
  <c r="C195" i="41"/>
  <c r="D12" i="39"/>
  <c r="D11" i="39"/>
  <c r="D10" i="39"/>
  <c r="D9" i="39"/>
  <c r="D8" i="39"/>
  <c r="D192" i="41"/>
  <c r="C177" i="41"/>
  <c r="T172" i="41"/>
  <c r="S172" i="41"/>
  <c r="C192" i="41" s="1"/>
  <c r="C193" i="41" s="1"/>
  <c r="R172" i="41"/>
  <c r="D180" i="41" s="1"/>
  <c r="Q172" i="41"/>
  <c r="C180" i="41" s="1"/>
  <c r="N172" i="41"/>
  <c r="J172" i="41"/>
  <c r="F172" i="41"/>
  <c r="C172" i="41"/>
  <c r="K170" i="41"/>
  <c r="H167" i="41"/>
  <c r="G167" i="41"/>
  <c r="G165" i="41"/>
  <c r="H162" i="41"/>
  <c r="G162" i="41"/>
  <c r="K161" i="41"/>
  <c r="P160" i="41"/>
  <c r="O160" i="41"/>
  <c r="H160" i="41"/>
  <c r="G160" i="41"/>
  <c r="G158" i="41"/>
  <c r="K157" i="41"/>
  <c r="K155" i="41"/>
  <c r="G155" i="41"/>
  <c r="K154" i="41"/>
  <c r="K153" i="41"/>
  <c r="K152" i="41"/>
  <c r="K151" i="41"/>
  <c r="K149" i="41"/>
  <c r="L148" i="41"/>
  <c r="L172" i="41" s="1"/>
  <c r="D186" i="41" s="1"/>
  <c r="K148" i="41"/>
  <c r="G147" i="41"/>
  <c r="K146" i="41"/>
  <c r="G146" i="41"/>
  <c r="K144" i="41"/>
  <c r="K143" i="41"/>
  <c r="K133" i="41"/>
  <c r="G133" i="41"/>
  <c r="K129" i="41"/>
  <c r="H129" i="41"/>
  <c r="G129" i="41"/>
  <c r="H127" i="41"/>
  <c r="G127" i="41"/>
  <c r="K123" i="41"/>
  <c r="K119" i="41"/>
  <c r="K117" i="41"/>
  <c r="G116" i="41"/>
  <c r="G115" i="41"/>
  <c r="H114" i="41"/>
  <c r="G114" i="41"/>
  <c r="S113" i="41"/>
  <c r="O113" i="41"/>
  <c r="M113" i="41"/>
  <c r="M172" i="41" s="1"/>
  <c r="M174" i="41" s="1"/>
  <c r="K113" i="41"/>
  <c r="I113" i="41"/>
  <c r="I172" i="41" s="1"/>
  <c r="I174" i="41" s="1"/>
  <c r="G113" i="41"/>
  <c r="P112" i="41"/>
  <c r="P172" i="41" s="1"/>
  <c r="D183" i="41" s="1"/>
  <c r="O112" i="41"/>
  <c r="O172" i="41" s="1"/>
  <c r="K112" i="41"/>
  <c r="H112" i="41"/>
  <c r="G112" i="41"/>
  <c r="H109" i="41"/>
  <c r="G109" i="41"/>
  <c r="G108" i="41"/>
  <c r="H107" i="41"/>
  <c r="G107" i="41"/>
  <c r="H106" i="41"/>
  <c r="G106" i="41"/>
  <c r="H103" i="41"/>
  <c r="G103" i="41"/>
  <c r="K102" i="41"/>
  <c r="H94" i="41"/>
  <c r="G94" i="41"/>
  <c r="G90" i="41"/>
  <c r="O83" i="41"/>
  <c r="K80" i="41"/>
  <c r="H80" i="41"/>
  <c r="G80" i="41"/>
  <c r="H73" i="41"/>
  <c r="G73" i="41"/>
  <c r="K72" i="41"/>
  <c r="K70" i="41"/>
  <c r="K69" i="41"/>
  <c r="H68" i="41"/>
  <c r="G68" i="41"/>
  <c r="K67" i="41"/>
  <c r="E67" i="41"/>
  <c r="K66" i="41"/>
  <c r="E65" i="41"/>
  <c r="E172" i="41" s="1"/>
  <c r="K64" i="41"/>
  <c r="K63" i="41"/>
  <c r="K62" i="41"/>
  <c r="G62" i="41"/>
  <c r="G61" i="41"/>
  <c r="K60" i="41"/>
  <c r="H60" i="41"/>
  <c r="G60" i="41"/>
  <c r="G59" i="41"/>
  <c r="K57" i="41"/>
  <c r="D55" i="41"/>
  <c r="H52" i="41"/>
  <c r="G52" i="41"/>
  <c r="K51" i="41"/>
  <c r="G46" i="41"/>
  <c r="K41" i="41"/>
  <c r="D31" i="41"/>
  <c r="K25" i="41"/>
  <c r="G25" i="41"/>
  <c r="K21" i="41"/>
  <c r="K172" i="41" s="1"/>
  <c r="G20" i="41"/>
  <c r="G18" i="41"/>
  <c r="D17" i="41"/>
  <c r="D172" i="41" s="1"/>
  <c r="D177" i="41" s="1"/>
  <c r="H15" i="41"/>
  <c r="H172" i="41" s="1"/>
  <c r="G15" i="41"/>
  <c r="G172" i="41" s="1"/>
  <c r="G174" i="41" s="1"/>
  <c r="O11" i="41"/>
  <c r="C189" i="41" l="1"/>
  <c r="E174" i="41"/>
  <c r="C174" i="41"/>
  <c r="C181" i="41"/>
  <c r="C178" i="41"/>
  <c r="C183" i="41"/>
  <c r="C184" i="41" s="1"/>
  <c r="O174" i="41"/>
  <c r="K174" i="41"/>
  <c r="C186" i="41"/>
  <c r="C187" i="41" s="1"/>
  <c r="D189" i="41"/>
  <c r="Q174" i="41"/>
  <c r="S174" i="41"/>
  <c r="C190" i="41" l="1"/>
  <c r="G171" i="38" l="1"/>
  <c r="C12" i="39" l="1"/>
  <c r="B12" i="39"/>
  <c r="C11" i="39"/>
  <c r="B11" i="39"/>
  <c r="C10" i="39"/>
  <c r="B10" i="39"/>
  <c r="C9" i="39"/>
  <c r="B9" i="39"/>
  <c r="C8" i="39"/>
  <c r="B8" i="39"/>
  <c r="E8" i="39" l="1"/>
  <c r="F11" i="39"/>
  <c r="J8" i="39"/>
  <c r="J14" i="39" s="1"/>
  <c r="I9" i="39"/>
  <c r="I14" i="39" s="1"/>
  <c r="E9" i="39"/>
  <c r="E11" i="39"/>
  <c r="F10" i="39"/>
  <c r="E10" i="39"/>
  <c r="F12" i="39"/>
  <c r="E12" i="39"/>
  <c r="H11" i="39"/>
  <c r="H12" i="39"/>
  <c r="H14" i="39" s="1"/>
  <c r="G11" i="39"/>
  <c r="G12" i="39"/>
  <c r="P7" i="37"/>
  <c r="O7" i="37"/>
  <c r="P135" i="37"/>
  <c r="O135" i="37"/>
  <c r="Q81" i="37"/>
  <c r="P81" i="37"/>
  <c r="O81" i="37"/>
  <c r="O51" i="37"/>
  <c r="O16" i="37"/>
  <c r="O6" i="37" s="1"/>
  <c r="D135" i="37"/>
  <c r="C135" i="37"/>
  <c r="D81" i="37"/>
  <c r="C81" i="37"/>
  <c r="C6" i="37" s="1"/>
  <c r="C51" i="37"/>
  <c r="C16" i="37"/>
  <c r="H7" i="37"/>
  <c r="Q6" i="37"/>
  <c r="P6" i="37"/>
  <c r="E6" i="37"/>
  <c r="Q7" i="37" s="1"/>
  <c r="D6" i="37"/>
  <c r="M12" i="37" l="1"/>
  <c r="M9" i="37"/>
  <c r="M13" i="37"/>
  <c r="M11" i="37"/>
  <c r="M17" i="37"/>
  <c r="M21" i="37"/>
  <c r="M25" i="37"/>
  <c r="M29" i="37"/>
  <c r="M33" i="37"/>
  <c r="M37" i="37"/>
  <c r="M41" i="37"/>
  <c r="M45" i="37"/>
  <c r="M49" i="37"/>
  <c r="M53" i="37"/>
  <c r="M57" i="37"/>
  <c r="M61" i="37"/>
  <c r="M65" i="37"/>
  <c r="M69" i="37"/>
  <c r="M73" i="37"/>
  <c r="M77" i="37"/>
  <c r="M81" i="37"/>
  <c r="M85" i="37"/>
  <c r="M89" i="37"/>
  <c r="M93" i="37"/>
  <c r="M97" i="37"/>
  <c r="M101" i="37"/>
  <c r="M105" i="37"/>
  <c r="M109" i="37"/>
  <c r="M113" i="37"/>
  <c r="M117" i="37"/>
  <c r="M121" i="37"/>
  <c r="M125" i="37"/>
  <c r="M129" i="37"/>
  <c r="M133" i="37"/>
  <c r="M137" i="37"/>
  <c r="M141" i="37"/>
  <c r="M145" i="37"/>
  <c r="M149" i="37"/>
  <c r="M153" i="37"/>
  <c r="M157" i="37"/>
  <c r="M161" i="37"/>
  <c r="M165" i="37"/>
  <c r="M169" i="37"/>
  <c r="M31" i="37"/>
  <c r="M39" i="37"/>
  <c r="M47" i="37"/>
  <c r="M55" i="37"/>
  <c r="M63" i="37"/>
  <c r="M71" i="37"/>
  <c r="M79" i="37"/>
  <c r="M87" i="37"/>
  <c r="M95" i="37"/>
  <c r="M103" i="37"/>
  <c r="M111" i="37"/>
  <c r="M119" i="37"/>
  <c r="M127" i="37"/>
  <c r="M135" i="37"/>
  <c r="M143" i="37"/>
  <c r="M147" i="37"/>
  <c r="M155" i="37"/>
  <c r="M159" i="37"/>
  <c r="M163" i="37"/>
  <c r="M8" i="37"/>
  <c r="M10" i="37"/>
  <c r="M20" i="37"/>
  <c r="M28" i="37"/>
  <c r="M36" i="37"/>
  <c r="M44" i="37"/>
  <c r="M52" i="37"/>
  <c r="M60" i="37"/>
  <c r="M68" i="37"/>
  <c r="M72" i="37"/>
  <c r="M76" i="37"/>
  <c r="M84" i="37"/>
  <c r="M92" i="37"/>
  <c r="M100" i="37"/>
  <c r="M108" i="37"/>
  <c r="M116" i="37"/>
  <c r="M124" i="37"/>
  <c r="M132" i="37"/>
  <c r="M140" i="37"/>
  <c r="M148" i="37"/>
  <c r="M156" i="37"/>
  <c r="M164" i="37"/>
  <c r="M14" i="37"/>
  <c r="M18" i="37"/>
  <c r="M22" i="37"/>
  <c r="M26" i="37"/>
  <c r="M30" i="37"/>
  <c r="M34" i="37"/>
  <c r="M38" i="37"/>
  <c r="M42" i="37"/>
  <c r="M46" i="37"/>
  <c r="M50" i="37"/>
  <c r="M54" i="37"/>
  <c r="M58" i="37"/>
  <c r="M62" i="37"/>
  <c r="M66" i="37"/>
  <c r="M70" i="37"/>
  <c r="M74" i="37"/>
  <c r="M78" i="37"/>
  <c r="M82" i="37"/>
  <c r="M86" i="37"/>
  <c r="M90" i="37"/>
  <c r="M94" i="37"/>
  <c r="M98" i="37"/>
  <c r="M102" i="37"/>
  <c r="M106" i="37"/>
  <c r="M110" i="37"/>
  <c r="M114" i="37"/>
  <c r="M118" i="37"/>
  <c r="M122" i="37"/>
  <c r="M126" i="37"/>
  <c r="M130" i="37"/>
  <c r="M134" i="37"/>
  <c r="M138" i="37"/>
  <c r="M142" i="37"/>
  <c r="M146" i="37"/>
  <c r="M150" i="37"/>
  <c r="M154" i="37"/>
  <c r="M158" i="37"/>
  <c r="M162" i="37"/>
  <c r="M166" i="37"/>
  <c r="M170" i="37"/>
  <c r="M15" i="37"/>
  <c r="M19" i="37"/>
  <c r="M23" i="37"/>
  <c r="M27" i="37"/>
  <c r="M35" i="37"/>
  <c r="M43" i="37"/>
  <c r="M51" i="37"/>
  <c r="M59" i="37"/>
  <c r="M67" i="37"/>
  <c r="M75" i="37"/>
  <c r="M83" i="37"/>
  <c r="M91" i="37"/>
  <c r="M99" i="37"/>
  <c r="M107" i="37"/>
  <c r="M115" i="37"/>
  <c r="M123" i="37"/>
  <c r="M131" i="37"/>
  <c r="M139" i="37"/>
  <c r="M151" i="37"/>
  <c r="M167" i="37"/>
  <c r="M16" i="37"/>
  <c r="M24" i="37"/>
  <c r="M32" i="37"/>
  <c r="M40" i="37"/>
  <c r="M48" i="37"/>
  <c r="M56" i="37"/>
  <c r="M64" i="37"/>
  <c r="M80" i="37"/>
  <c r="M88" i="37"/>
  <c r="M96" i="37"/>
  <c r="M104" i="37"/>
  <c r="M112" i="37"/>
  <c r="M120" i="37"/>
  <c r="M128" i="37"/>
  <c r="M136" i="37"/>
  <c r="M144" i="37"/>
  <c r="M152" i="37"/>
  <c r="M160" i="37"/>
  <c r="M168" i="37"/>
  <c r="E13" i="39"/>
  <c r="F14" i="39"/>
  <c r="G14" i="39"/>
  <c r="M171" i="37" l="1"/>
  <c r="M6" i="37"/>
  <c r="T6" i="37" s="1"/>
  <c r="E14" i="39"/>
  <c r="J15" i="39" s="1"/>
  <c r="G15" i="39" l="1"/>
  <c r="I15" i="39"/>
  <c r="H15" i="39"/>
  <c r="F15" i="39"/>
  <c r="E15" i="39" l="1"/>
  <c r="C196" i="26"/>
  <c r="E12" i="27" l="1"/>
  <c r="E11" i="27"/>
  <c r="E9" i="27"/>
  <c r="E8" i="27"/>
  <c r="E7" i="27"/>
  <c r="E5" i="27"/>
  <c r="E4" i="27"/>
  <c r="E3" i="27"/>
  <c r="C198" i="11"/>
  <c r="C12" i="27"/>
  <c r="C11" i="27"/>
  <c r="C9" i="27"/>
  <c r="C8" i="27"/>
  <c r="C7" i="27"/>
  <c r="C5" i="27"/>
  <c r="C4" i="27"/>
  <c r="C3" i="27"/>
  <c r="C13" i="27" l="1"/>
  <c r="D11" i="27" s="1"/>
  <c r="E13" i="27"/>
  <c r="G13" i="27"/>
  <c r="C19" i="27"/>
  <c r="C21" i="27"/>
  <c r="F7" i="37" s="1"/>
  <c r="E19" i="27"/>
  <c r="E21" i="27"/>
  <c r="G7" i="37" s="1"/>
  <c r="G19" i="27"/>
  <c r="P21" i="26"/>
  <c r="F21" i="26"/>
  <c r="N21" i="26"/>
  <c r="I21" i="26"/>
  <c r="D5" i="27" l="1"/>
  <c r="E30" i="27"/>
  <c r="E25" i="27"/>
  <c r="D8" i="27"/>
  <c r="G30" i="27"/>
  <c r="G25" i="27"/>
  <c r="C30" i="27"/>
  <c r="C25" i="27"/>
  <c r="N171" i="37"/>
  <c r="H10" i="27"/>
  <c r="H4" i="27"/>
  <c r="H9" i="27"/>
  <c r="H12" i="27"/>
  <c r="H8" i="27"/>
  <c r="H5" i="27"/>
  <c r="H7" i="27"/>
  <c r="H11" i="27"/>
  <c r="H3" i="27"/>
  <c r="D7" i="27"/>
  <c r="K67" i="37"/>
  <c r="K59" i="37"/>
  <c r="K51" i="37"/>
  <c r="K63" i="37"/>
  <c r="K69" i="37"/>
  <c r="K61" i="37"/>
  <c r="K53" i="37"/>
  <c r="K71" i="37"/>
  <c r="K55" i="37"/>
  <c r="K13" i="37"/>
  <c r="K15" i="37"/>
  <c r="K65" i="37"/>
  <c r="K57" i="37"/>
  <c r="K73" i="37"/>
  <c r="K160" i="37"/>
  <c r="K144" i="37"/>
  <c r="K130" i="37"/>
  <c r="K169" i="37"/>
  <c r="K153" i="37"/>
  <c r="K137" i="37"/>
  <c r="K119" i="37"/>
  <c r="K162" i="37"/>
  <c r="K146" i="37"/>
  <c r="K110" i="37"/>
  <c r="K94" i="37"/>
  <c r="K125" i="37"/>
  <c r="K108" i="37"/>
  <c r="K92" i="37"/>
  <c r="K74" i="37"/>
  <c r="K139" i="37"/>
  <c r="K68" i="37"/>
  <c r="K52" i="37"/>
  <c r="K35" i="37"/>
  <c r="K19" i="37"/>
  <c r="K159" i="37"/>
  <c r="K86" i="37"/>
  <c r="K66" i="37"/>
  <c r="K49" i="37"/>
  <c r="K33" i="37"/>
  <c r="K17" i="37"/>
  <c r="K18" i="37"/>
  <c r="K26" i="37"/>
  <c r="K34" i="37"/>
  <c r="K42" i="37"/>
  <c r="K50" i="37"/>
  <c r="K91" i="37"/>
  <c r="K99" i="37"/>
  <c r="K107" i="37"/>
  <c r="K9" i="37"/>
  <c r="K83" i="37"/>
  <c r="K124" i="37"/>
  <c r="K156" i="37"/>
  <c r="K140" i="37"/>
  <c r="K126" i="37"/>
  <c r="K165" i="37"/>
  <c r="K149" i="37"/>
  <c r="K131" i="37"/>
  <c r="K115" i="37"/>
  <c r="K158" i="37"/>
  <c r="K142" i="37"/>
  <c r="K106" i="37"/>
  <c r="K90" i="37"/>
  <c r="K121" i="37"/>
  <c r="K104" i="37"/>
  <c r="K88" i="37"/>
  <c r="K163" i="37"/>
  <c r="K64" i="37"/>
  <c r="K47" i="37"/>
  <c r="K14" i="37"/>
  <c r="K79" i="37"/>
  <c r="K62" i="37"/>
  <c r="K29" i="37"/>
  <c r="K20" i="37"/>
  <c r="K36" i="37"/>
  <c r="K81" i="37"/>
  <c r="K109" i="37"/>
  <c r="K85" i="37"/>
  <c r="K168" i="37"/>
  <c r="K152" i="37"/>
  <c r="K136" i="37"/>
  <c r="K122" i="37"/>
  <c r="K161" i="37"/>
  <c r="K145" i="37"/>
  <c r="K127" i="37"/>
  <c r="K170" i="37"/>
  <c r="K154" i="37"/>
  <c r="K138" i="37"/>
  <c r="K102" i="37"/>
  <c r="K133" i="37"/>
  <c r="K117" i="37"/>
  <c r="K100" i="37"/>
  <c r="K84" i="37"/>
  <c r="K155" i="37"/>
  <c r="K75" i="37"/>
  <c r="K60" i="37"/>
  <c r="K43" i="37"/>
  <c r="K27" i="37"/>
  <c r="K10" i="37"/>
  <c r="K143" i="37"/>
  <c r="K77" i="37"/>
  <c r="K58" i="37"/>
  <c r="K41" i="37"/>
  <c r="K25" i="37"/>
  <c r="K8" i="37"/>
  <c r="K22" i="37"/>
  <c r="K30" i="37"/>
  <c r="K38" i="37"/>
  <c r="K46" i="37"/>
  <c r="K87" i="37"/>
  <c r="K95" i="37"/>
  <c r="K103" i="37"/>
  <c r="K111" i="37"/>
  <c r="K76" i="37"/>
  <c r="K116" i="37"/>
  <c r="K132" i="37"/>
  <c r="K164" i="37"/>
  <c r="K148" i="37"/>
  <c r="K134" i="37"/>
  <c r="K118" i="37"/>
  <c r="K157" i="37"/>
  <c r="K141" i="37"/>
  <c r="K123" i="37"/>
  <c r="K166" i="37"/>
  <c r="K150" i="37"/>
  <c r="K114" i="37"/>
  <c r="K98" i="37"/>
  <c r="K129" i="37"/>
  <c r="K112" i="37"/>
  <c r="K96" i="37"/>
  <c r="K78" i="37"/>
  <c r="K147" i="37"/>
  <c r="K72" i="37"/>
  <c r="K56" i="37"/>
  <c r="K39" i="37"/>
  <c r="K23" i="37"/>
  <c r="K167" i="37"/>
  <c r="K135" i="37"/>
  <c r="K70" i="37"/>
  <c r="K54" i="37"/>
  <c r="K37" i="37"/>
  <c r="K21" i="37"/>
  <c r="K16" i="37"/>
  <c r="K24" i="37"/>
  <c r="K32" i="37"/>
  <c r="K40" i="37"/>
  <c r="K48" i="37"/>
  <c r="K89" i="37"/>
  <c r="K97" i="37"/>
  <c r="K105" i="37"/>
  <c r="K113" i="37"/>
  <c r="K80" i="37"/>
  <c r="K120" i="37"/>
  <c r="K82" i="37"/>
  <c r="K31" i="37"/>
  <c r="K151" i="37"/>
  <c r="K45" i="37"/>
  <c r="K12" i="37"/>
  <c r="K28" i="37"/>
  <c r="K44" i="37"/>
  <c r="K93" i="37"/>
  <c r="K101" i="37"/>
  <c r="K11" i="37"/>
  <c r="K128" i="37"/>
  <c r="I122" i="37"/>
  <c r="I46" i="37"/>
  <c r="I38" i="37"/>
  <c r="I30" i="37"/>
  <c r="I22" i="37"/>
  <c r="I9" i="37"/>
  <c r="I13" i="37"/>
  <c r="I134" i="37"/>
  <c r="I118" i="37"/>
  <c r="I88" i="37"/>
  <c r="I85" i="37"/>
  <c r="I77" i="37"/>
  <c r="I48" i="37"/>
  <c r="I40" i="37"/>
  <c r="I32" i="37"/>
  <c r="I24" i="37"/>
  <c r="I16" i="37"/>
  <c r="I15" i="37"/>
  <c r="I11" i="37"/>
  <c r="I44" i="37"/>
  <c r="I28" i="37"/>
  <c r="I8" i="37"/>
  <c r="I130" i="37"/>
  <c r="I73" i="37"/>
  <c r="I71" i="37"/>
  <c r="I69" i="37"/>
  <c r="I67" i="37"/>
  <c r="I65" i="37"/>
  <c r="I63" i="37"/>
  <c r="I61" i="37"/>
  <c r="I59" i="37"/>
  <c r="I57" i="37"/>
  <c r="I55" i="37"/>
  <c r="I53" i="37"/>
  <c r="I51" i="37"/>
  <c r="I36" i="37"/>
  <c r="I20" i="37"/>
  <c r="I126" i="37"/>
  <c r="I84" i="37"/>
  <c r="I42" i="37"/>
  <c r="I26" i="37"/>
  <c r="I12" i="37"/>
  <c r="I89" i="37"/>
  <c r="I50" i="37"/>
  <c r="I34" i="37"/>
  <c r="I18" i="37"/>
  <c r="I170" i="37"/>
  <c r="I154" i="37"/>
  <c r="I138" i="37"/>
  <c r="I120" i="37"/>
  <c r="I159" i="37"/>
  <c r="I143" i="37"/>
  <c r="I125" i="37"/>
  <c r="I108" i="37"/>
  <c r="I92" i="37"/>
  <c r="I164" i="37"/>
  <c r="I156" i="37"/>
  <c r="I148" i="37"/>
  <c r="I140" i="37"/>
  <c r="I110" i="37"/>
  <c r="I94" i="37"/>
  <c r="I80" i="37"/>
  <c r="I19" i="37"/>
  <c r="I35" i="37"/>
  <c r="I52" i="37"/>
  <c r="I68" i="37"/>
  <c r="I87" i="37"/>
  <c r="I97" i="37"/>
  <c r="I105" i="37"/>
  <c r="I113" i="37"/>
  <c r="I17" i="37"/>
  <c r="I33" i="37"/>
  <c r="I49" i="37"/>
  <c r="I66" i="37"/>
  <c r="I83" i="37"/>
  <c r="I166" i="37"/>
  <c r="I150" i="37"/>
  <c r="I132" i="37"/>
  <c r="I116" i="37"/>
  <c r="I155" i="37"/>
  <c r="I139" i="37"/>
  <c r="I121" i="37"/>
  <c r="I104" i="37"/>
  <c r="I169" i="37"/>
  <c r="I161" i="37"/>
  <c r="I153" i="37"/>
  <c r="I145" i="37"/>
  <c r="I137" i="37"/>
  <c r="I106" i="37"/>
  <c r="I90" i="37"/>
  <c r="I76" i="37"/>
  <c r="I23" i="37"/>
  <c r="I39" i="37"/>
  <c r="I56" i="37"/>
  <c r="I72" i="37"/>
  <c r="I158" i="37"/>
  <c r="I124" i="37"/>
  <c r="I147" i="37"/>
  <c r="I112" i="37"/>
  <c r="I165" i="37"/>
  <c r="I149" i="37"/>
  <c r="I114" i="37"/>
  <c r="I82" i="37"/>
  <c r="I31" i="37"/>
  <c r="I64" i="37"/>
  <c r="I93" i="37"/>
  <c r="I103" i="37"/>
  <c r="I115" i="37"/>
  <c r="I25" i="37"/>
  <c r="I45" i="37"/>
  <c r="I70" i="37"/>
  <c r="I127" i="37"/>
  <c r="I81" i="37"/>
  <c r="I146" i="37"/>
  <c r="I167" i="37"/>
  <c r="I133" i="37"/>
  <c r="I100" i="37"/>
  <c r="I160" i="37"/>
  <c r="I144" i="37"/>
  <c r="I102" i="37"/>
  <c r="I10" i="37"/>
  <c r="I43" i="37"/>
  <c r="I75" i="37"/>
  <c r="I95" i="37"/>
  <c r="I107" i="37"/>
  <c r="I123" i="37"/>
  <c r="I29" i="37"/>
  <c r="I54" i="37"/>
  <c r="I74" i="37"/>
  <c r="I135" i="37"/>
  <c r="I142" i="37"/>
  <c r="I163" i="37"/>
  <c r="I129" i="37"/>
  <c r="I96" i="37"/>
  <c r="I157" i="37"/>
  <c r="I141" i="37"/>
  <c r="I98" i="37"/>
  <c r="I14" i="37"/>
  <c r="I47" i="37"/>
  <c r="I78" i="37"/>
  <c r="I99" i="37"/>
  <c r="I109" i="37"/>
  <c r="I131" i="37"/>
  <c r="I37" i="37"/>
  <c r="I58" i="37"/>
  <c r="I79" i="37"/>
  <c r="I162" i="37"/>
  <c r="I128" i="37"/>
  <c r="I151" i="37"/>
  <c r="I117" i="37"/>
  <c r="I168" i="37"/>
  <c r="I152" i="37"/>
  <c r="I136" i="37"/>
  <c r="I86" i="37"/>
  <c r="I27" i="37"/>
  <c r="I60" i="37"/>
  <c r="I91" i="37"/>
  <c r="I101" i="37"/>
  <c r="I111" i="37"/>
  <c r="I21" i="37"/>
  <c r="I41" i="37"/>
  <c r="I62" i="37"/>
  <c r="I119" i="37"/>
  <c r="F3" i="27"/>
  <c r="F10" i="27"/>
  <c r="F7" i="27"/>
  <c r="F11" i="27"/>
  <c r="D9" i="27"/>
  <c r="F5" i="27"/>
  <c r="F4" i="27"/>
  <c r="D4" i="27"/>
  <c r="D3" i="27"/>
  <c r="D12" i="27"/>
  <c r="F8" i="27"/>
  <c r="F12" i="27"/>
  <c r="F9" i="27"/>
  <c r="D10" i="27"/>
  <c r="O113" i="26"/>
  <c r="M113" i="26"/>
  <c r="K113" i="26"/>
  <c r="I113" i="26"/>
  <c r="G113" i="26"/>
  <c r="E113" i="26"/>
  <c r="K112" i="26"/>
  <c r="H13" i="27" l="1"/>
  <c r="N88" i="37"/>
  <c r="N158" i="37"/>
  <c r="N30" i="37"/>
  <c r="N135" i="37"/>
  <c r="N97" i="37"/>
  <c r="N80" i="37"/>
  <c r="N170" i="37"/>
  <c r="N42" i="37"/>
  <c r="N155" i="37"/>
  <c r="N125" i="37"/>
  <c r="N45" i="37"/>
  <c r="N136" i="37"/>
  <c r="N151" i="37"/>
  <c r="N23" i="37"/>
  <c r="N118" i="37"/>
  <c r="N54" i="37"/>
  <c r="N124" i="37"/>
  <c r="N119" i="37"/>
  <c r="N153" i="37"/>
  <c r="N89" i="37"/>
  <c r="N25" i="37"/>
  <c r="N131" i="37"/>
  <c r="N110" i="37"/>
  <c r="N108" i="37"/>
  <c r="N39" i="37"/>
  <c r="N49" i="37"/>
  <c r="N40" i="37"/>
  <c r="N122" i="37"/>
  <c r="N132" i="37"/>
  <c r="N63" i="37"/>
  <c r="N128" i="37"/>
  <c r="N139" i="37"/>
  <c r="N19" i="37"/>
  <c r="N114" i="37"/>
  <c r="N50" i="37"/>
  <c r="N116" i="37"/>
  <c r="N163" i="37"/>
  <c r="N47" i="37"/>
  <c r="N117" i="37"/>
  <c r="N53" i="37"/>
  <c r="N150" i="37"/>
  <c r="N60" i="37"/>
  <c r="N85" i="37"/>
  <c r="N152" i="37"/>
  <c r="N20" i="37"/>
  <c r="N144" i="37"/>
  <c r="N74" i="37"/>
  <c r="N141" i="37"/>
  <c r="N168" i="37"/>
  <c r="N51" i="37"/>
  <c r="N70" i="37"/>
  <c r="N36" i="37"/>
  <c r="N169" i="37"/>
  <c r="N41" i="37"/>
  <c r="N142" i="37"/>
  <c r="N103" i="37"/>
  <c r="N112" i="37"/>
  <c r="N26" i="37"/>
  <c r="N160" i="37"/>
  <c r="N43" i="37"/>
  <c r="N66" i="37"/>
  <c r="N28" i="37"/>
  <c r="N133" i="37"/>
  <c r="N9" i="37"/>
  <c r="N16" i="37"/>
  <c r="N126" i="37"/>
  <c r="N140" i="37"/>
  <c r="N71" i="37"/>
  <c r="N65" i="37"/>
  <c r="N167" i="37"/>
  <c r="N138" i="37"/>
  <c r="N164" i="37"/>
  <c r="N95" i="37"/>
  <c r="N109" i="37"/>
  <c r="N29" i="37"/>
  <c r="N104" i="37"/>
  <c r="N115" i="37"/>
  <c r="N166" i="37"/>
  <c r="N102" i="37"/>
  <c r="N38" i="37"/>
  <c r="N92" i="37"/>
  <c r="N8" i="37"/>
  <c r="N87" i="37"/>
  <c r="N137" i="37"/>
  <c r="N73" i="37"/>
  <c r="N13" i="37"/>
  <c r="N67" i="37"/>
  <c r="N78" i="37"/>
  <c r="N52" i="37"/>
  <c r="N145" i="37"/>
  <c r="N33" i="37"/>
  <c r="N123" i="37"/>
  <c r="N90" i="37"/>
  <c r="N72" i="37"/>
  <c r="N157" i="37"/>
  <c r="N96" i="37"/>
  <c r="N107" i="37"/>
  <c r="N162" i="37"/>
  <c r="N98" i="37"/>
  <c r="N34" i="37"/>
  <c r="N84" i="37"/>
  <c r="N143" i="37"/>
  <c r="N165" i="37"/>
  <c r="N101" i="37"/>
  <c r="N37" i="37"/>
  <c r="N99" i="37"/>
  <c r="N94" i="37"/>
  <c r="N76" i="37"/>
  <c r="N161" i="37"/>
  <c r="N17" i="37"/>
  <c r="N91" i="37"/>
  <c r="N106" i="37"/>
  <c r="N100" i="37"/>
  <c r="N31" i="37"/>
  <c r="N93" i="37"/>
  <c r="N11" i="37"/>
  <c r="N64" i="37"/>
  <c r="N83" i="37"/>
  <c r="N86" i="37"/>
  <c r="N22" i="37"/>
  <c r="N68" i="37"/>
  <c r="N55" i="37"/>
  <c r="N121" i="37"/>
  <c r="N57" i="37"/>
  <c r="N120" i="37"/>
  <c r="N15" i="37"/>
  <c r="N46" i="37"/>
  <c r="N159" i="37"/>
  <c r="N113" i="37"/>
  <c r="N12" i="37"/>
  <c r="N59" i="37"/>
  <c r="N58" i="37"/>
  <c r="N10" i="37"/>
  <c r="N61" i="37"/>
  <c r="N56" i="37"/>
  <c r="N75" i="37"/>
  <c r="N146" i="37"/>
  <c r="N82" i="37"/>
  <c r="N18" i="37"/>
  <c r="N111" i="37"/>
  <c r="N149" i="37"/>
  <c r="N21" i="37"/>
  <c r="N35" i="37"/>
  <c r="N62" i="37"/>
  <c r="N129" i="37"/>
  <c r="N27" i="37"/>
  <c r="N44" i="37"/>
  <c r="N77" i="37"/>
  <c r="N32" i="37"/>
  <c r="N134" i="37"/>
  <c r="N156" i="37"/>
  <c r="N147" i="37"/>
  <c r="N105" i="37"/>
  <c r="N48" i="37"/>
  <c r="N14" i="37"/>
  <c r="N81" i="37"/>
  <c r="N154" i="37"/>
  <c r="N127" i="37"/>
  <c r="N24" i="37"/>
  <c r="N130" i="37"/>
  <c r="N148" i="37"/>
  <c r="N79" i="37"/>
  <c r="N69" i="37"/>
  <c r="K6" i="37"/>
  <c r="K171" i="37"/>
  <c r="L171" i="37" s="1"/>
  <c r="L11" i="37" s="1"/>
  <c r="L102" i="37"/>
  <c r="L71" i="37"/>
  <c r="L100" i="37"/>
  <c r="L160" i="37"/>
  <c r="L134" i="37"/>
  <c r="L79" i="37"/>
  <c r="L162" i="37"/>
  <c r="L105" i="37"/>
  <c r="L22" i="37"/>
  <c r="L131" i="37"/>
  <c r="L119" i="37"/>
  <c r="I6" i="37"/>
  <c r="J171" i="37" s="1"/>
  <c r="J54" i="37" s="1"/>
  <c r="I171" i="37"/>
  <c r="J74" i="37"/>
  <c r="J52" i="37"/>
  <c r="J122" i="37"/>
  <c r="F13" i="27"/>
  <c r="D13" i="27"/>
  <c r="E102" i="26"/>
  <c r="E106" i="26"/>
  <c r="E101" i="26"/>
  <c r="F100" i="26"/>
  <c r="E100" i="26"/>
  <c r="E92" i="26"/>
  <c r="L94" i="37" l="1"/>
  <c r="I94" i="38" s="1"/>
  <c r="L20" i="37"/>
  <c r="L148" i="37"/>
  <c r="L82" i="37"/>
  <c r="I82" i="38" s="1"/>
  <c r="L49" i="37"/>
  <c r="I49" i="38" s="1"/>
  <c r="L161" i="37"/>
  <c r="L123" i="37"/>
  <c r="L68" i="37"/>
  <c r="S68" i="37" s="1"/>
  <c r="J68" i="38" s="1"/>
  <c r="L38" i="37"/>
  <c r="S38" i="37" s="1"/>
  <c r="J38" i="38" s="1"/>
  <c r="L110" i="37"/>
  <c r="L18" i="37"/>
  <c r="L170" i="37"/>
  <c r="I170" i="38" s="1"/>
  <c r="L141" i="37"/>
  <c r="I141" i="38" s="1"/>
  <c r="L61" i="37"/>
  <c r="L83" i="37"/>
  <c r="L154" i="37"/>
  <c r="I154" i="38" s="1"/>
  <c r="L28" i="37"/>
  <c r="I28" i="38" s="1"/>
  <c r="L34" i="37"/>
  <c r="L166" i="37"/>
  <c r="L149" i="37"/>
  <c r="I149" i="38" s="1"/>
  <c r="L55" i="37"/>
  <c r="S55" i="37" s="1"/>
  <c r="J55" i="38" s="1"/>
  <c r="L140" i="37"/>
  <c r="L133" i="37"/>
  <c r="L135" i="37"/>
  <c r="S135" i="37" s="1"/>
  <c r="J135" i="38" s="1"/>
  <c r="L169" i="37"/>
  <c r="S169" i="37" s="1"/>
  <c r="J169" i="38" s="1"/>
  <c r="L126" i="37"/>
  <c r="L41" i="37"/>
  <c r="L15" i="37"/>
  <c r="S15" i="37" s="1"/>
  <c r="J15" i="38" s="1"/>
  <c r="L158" i="37"/>
  <c r="I158" i="38" s="1"/>
  <c r="L151" i="37"/>
  <c r="L29" i="37"/>
  <c r="L111" i="37"/>
  <c r="I111" i="38" s="1"/>
  <c r="J16" i="37"/>
  <c r="R16" i="37" s="1"/>
  <c r="D16" i="38" s="1"/>
  <c r="J139" i="37"/>
  <c r="J58" i="37"/>
  <c r="C58" i="38" s="1"/>
  <c r="J55" i="37"/>
  <c r="R55" i="37" s="1"/>
  <c r="D55" i="38" s="1"/>
  <c r="J124" i="37"/>
  <c r="C124" i="38" s="1"/>
  <c r="J41" i="37"/>
  <c r="L69" i="37"/>
  <c r="L66" i="37"/>
  <c r="S66" i="37" s="1"/>
  <c r="J66" i="38" s="1"/>
  <c r="L14" i="37"/>
  <c r="I14" i="38" s="1"/>
  <c r="L58" i="37"/>
  <c r="L56" i="37"/>
  <c r="L59" i="37"/>
  <c r="S59" i="37" s="1"/>
  <c r="J59" i="38" s="1"/>
  <c r="L19" i="37"/>
  <c r="S19" i="37" s="1"/>
  <c r="J19" i="38" s="1"/>
  <c r="L163" i="37"/>
  <c r="L10" i="37"/>
  <c r="L113" i="37"/>
  <c r="S113" i="37" s="1"/>
  <c r="J113" i="38" s="1"/>
  <c r="L108" i="37"/>
  <c r="I108" i="38" s="1"/>
  <c r="L81" i="37"/>
  <c r="L54" i="37"/>
  <c r="S54" i="37" s="1"/>
  <c r="J54" i="38" s="1"/>
  <c r="L17" i="37"/>
  <c r="S17" i="37" s="1"/>
  <c r="J17" i="38" s="1"/>
  <c r="L8" i="37"/>
  <c r="I8" i="38" s="1"/>
  <c r="L32" i="37"/>
  <c r="J138" i="37"/>
  <c r="C138" i="38" s="1"/>
  <c r="J81" i="37"/>
  <c r="C81" i="38" s="1"/>
  <c r="J40" i="37"/>
  <c r="C40" i="38" s="1"/>
  <c r="L70" i="37"/>
  <c r="T154" i="37"/>
  <c r="P154" i="38" s="1"/>
  <c r="O154" i="38"/>
  <c r="T32" i="37"/>
  <c r="P32" i="38" s="1"/>
  <c r="O32" i="38"/>
  <c r="T149" i="37"/>
  <c r="P149" i="38" s="1"/>
  <c r="O149" i="38"/>
  <c r="T10" i="37"/>
  <c r="P10" i="38" s="1"/>
  <c r="O10" i="38"/>
  <c r="T120" i="37"/>
  <c r="P120" i="38" s="1"/>
  <c r="O120" i="38"/>
  <c r="T64" i="37"/>
  <c r="P64" i="38" s="1"/>
  <c r="O64" i="38"/>
  <c r="T161" i="37"/>
  <c r="P161" i="38" s="1"/>
  <c r="O161" i="38"/>
  <c r="T84" i="37"/>
  <c r="P84" i="38" s="1"/>
  <c r="O84" i="38"/>
  <c r="T90" i="37"/>
  <c r="P90" i="38" s="1"/>
  <c r="O90" i="38"/>
  <c r="T73" i="37"/>
  <c r="P73" i="38" s="1"/>
  <c r="O73" i="38"/>
  <c r="T115" i="37"/>
  <c r="P115" i="38" s="1"/>
  <c r="O115" i="38"/>
  <c r="T65" i="37"/>
  <c r="P65" i="38" s="1"/>
  <c r="O65" i="38"/>
  <c r="T16" i="37"/>
  <c r="P16" i="38" s="1"/>
  <c r="O16" i="38"/>
  <c r="T112" i="37"/>
  <c r="P112" i="38" s="1"/>
  <c r="O112" i="38"/>
  <c r="T169" i="37"/>
  <c r="P169" i="38" s="1"/>
  <c r="O169" i="38"/>
  <c r="T168" i="37"/>
  <c r="P168" i="38" s="1"/>
  <c r="O168" i="38"/>
  <c r="T20" i="37"/>
  <c r="P20" i="38" s="1"/>
  <c r="O20" i="38"/>
  <c r="T150" i="37"/>
  <c r="P150" i="38" s="1"/>
  <c r="O150" i="38"/>
  <c r="T163" i="37"/>
  <c r="P163" i="38" s="1"/>
  <c r="O163" i="38"/>
  <c r="T19" i="37"/>
  <c r="P19" i="38" s="1"/>
  <c r="O19" i="38"/>
  <c r="T132" i="37"/>
  <c r="P132" i="38" s="1"/>
  <c r="O132" i="38"/>
  <c r="T39" i="37"/>
  <c r="P39" i="38" s="1"/>
  <c r="O39" i="38"/>
  <c r="T25" i="37"/>
  <c r="P25" i="38" s="1"/>
  <c r="O25" i="38"/>
  <c r="T124" i="37"/>
  <c r="P124" i="38" s="1"/>
  <c r="O124" i="38"/>
  <c r="T151" i="37"/>
  <c r="P151" i="38" s="1"/>
  <c r="O151" i="38"/>
  <c r="T155" i="37"/>
  <c r="P155" i="38" s="1"/>
  <c r="O155" i="38"/>
  <c r="T88" i="37"/>
  <c r="P88" i="38" s="1"/>
  <c r="O88" i="38"/>
  <c r="L120" i="37"/>
  <c r="S120" i="37" s="1"/>
  <c r="J120" i="38" s="1"/>
  <c r="T130" i="37"/>
  <c r="P130" i="38" s="1"/>
  <c r="O130" i="38"/>
  <c r="T147" i="37"/>
  <c r="P147" i="38" s="1"/>
  <c r="O147" i="38"/>
  <c r="T62" i="37"/>
  <c r="P62" i="38" s="1"/>
  <c r="O62" i="38"/>
  <c r="T75" i="37"/>
  <c r="P75" i="38" s="1"/>
  <c r="O75" i="38"/>
  <c r="T159" i="37"/>
  <c r="P159" i="38" s="1"/>
  <c r="O159" i="38"/>
  <c r="T22" i="37"/>
  <c r="P22" i="38" s="1"/>
  <c r="O22" i="38"/>
  <c r="T106" i="37"/>
  <c r="P106" i="38" s="1"/>
  <c r="O106" i="38"/>
  <c r="T101" i="37"/>
  <c r="P101" i="38" s="1"/>
  <c r="O101" i="38"/>
  <c r="T96" i="37"/>
  <c r="P96" i="38" s="1"/>
  <c r="O96" i="38"/>
  <c r="T78" i="37"/>
  <c r="P78" i="38" s="1"/>
  <c r="O78" i="38"/>
  <c r="T38" i="37"/>
  <c r="P38" i="38" s="1"/>
  <c r="O38" i="38"/>
  <c r="T164" i="37"/>
  <c r="P164" i="38" s="1"/>
  <c r="O164" i="38"/>
  <c r="T9" i="37"/>
  <c r="P9" i="38" s="1"/>
  <c r="O9" i="38"/>
  <c r="T103" i="37"/>
  <c r="P103" i="38" s="1"/>
  <c r="O103" i="38"/>
  <c r="T141" i="37"/>
  <c r="P141" i="38" s="1"/>
  <c r="O141" i="38"/>
  <c r="T53" i="37"/>
  <c r="P53" i="38" s="1"/>
  <c r="O53" i="38"/>
  <c r="T139" i="37"/>
  <c r="P139" i="38" s="1"/>
  <c r="O139" i="38"/>
  <c r="T108" i="37"/>
  <c r="P108" i="38" s="1"/>
  <c r="O108" i="38"/>
  <c r="T54" i="37"/>
  <c r="P54" i="38" s="1"/>
  <c r="O54" i="38"/>
  <c r="T136" i="37"/>
  <c r="P136" i="38" s="1"/>
  <c r="O136" i="38"/>
  <c r="T135" i="37"/>
  <c r="P135" i="38" s="1"/>
  <c r="O135" i="38"/>
  <c r="L57" i="37"/>
  <c r="S57" i="37" s="1"/>
  <c r="J57" i="38" s="1"/>
  <c r="L74" i="37"/>
  <c r="I74" i="38" s="1"/>
  <c r="L50" i="37"/>
  <c r="L106" i="37"/>
  <c r="I106" i="38" s="1"/>
  <c r="L85" i="37"/>
  <c r="I85" i="38" s="1"/>
  <c r="L155" i="37"/>
  <c r="S155" i="37" s="1"/>
  <c r="J155" i="38" s="1"/>
  <c r="L87" i="37"/>
  <c r="I87" i="38" s="1"/>
  <c r="L114" i="37"/>
  <c r="S114" i="37" s="1"/>
  <c r="J114" i="38" s="1"/>
  <c r="L21" i="37"/>
  <c r="S21" i="37" s="1"/>
  <c r="J21" i="38" s="1"/>
  <c r="L12" i="37"/>
  <c r="S12" i="37" s="1"/>
  <c r="J12" i="38" s="1"/>
  <c r="L13" i="37"/>
  <c r="I13" i="38" s="1"/>
  <c r="L125" i="37"/>
  <c r="S125" i="37" s="1"/>
  <c r="J125" i="38" s="1"/>
  <c r="L26" i="37"/>
  <c r="S26" i="37" s="1"/>
  <c r="J26" i="38" s="1"/>
  <c r="L115" i="37"/>
  <c r="I115" i="38" s="1"/>
  <c r="L36" i="37"/>
  <c r="I36" i="38" s="1"/>
  <c r="L117" i="37"/>
  <c r="S117" i="37" s="1"/>
  <c r="J117" i="38" s="1"/>
  <c r="L30" i="37"/>
  <c r="S30" i="37" s="1"/>
  <c r="J30" i="38" s="1"/>
  <c r="L78" i="37"/>
  <c r="S78" i="37" s="1"/>
  <c r="J78" i="38" s="1"/>
  <c r="L51" i="37"/>
  <c r="I51" i="38" s="1"/>
  <c r="L153" i="37"/>
  <c r="S153" i="37" s="1"/>
  <c r="J153" i="38" s="1"/>
  <c r="L159" i="37"/>
  <c r="S159" i="37" s="1"/>
  <c r="J159" i="38" s="1"/>
  <c r="L124" i="37"/>
  <c r="S124" i="37" s="1"/>
  <c r="J124" i="38" s="1"/>
  <c r="L64" i="37"/>
  <c r="L145" i="37"/>
  <c r="S145" i="37" s="1"/>
  <c r="J145" i="38" s="1"/>
  <c r="L143" i="37"/>
  <c r="S143" i="37" s="1"/>
  <c r="J143" i="38" s="1"/>
  <c r="L132" i="37"/>
  <c r="S132" i="37" s="1"/>
  <c r="J132" i="38" s="1"/>
  <c r="L147" i="37"/>
  <c r="L89" i="37"/>
  <c r="S89" i="37" s="1"/>
  <c r="J89" i="38" s="1"/>
  <c r="L128" i="37"/>
  <c r="I128" i="38" s="1"/>
  <c r="L144" i="37"/>
  <c r="S144" i="37" s="1"/>
  <c r="J144" i="38" s="1"/>
  <c r="L52" i="37"/>
  <c r="L107" i="37"/>
  <c r="S107" i="37" s="1"/>
  <c r="J107" i="38" s="1"/>
  <c r="L104" i="37"/>
  <c r="S104" i="37" s="1"/>
  <c r="J104" i="38" s="1"/>
  <c r="L136" i="37"/>
  <c r="S136" i="37" s="1"/>
  <c r="J136" i="38" s="1"/>
  <c r="L43" i="37"/>
  <c r="L112" i="37"/>
  <c r="S112" i="37" s="1"/>
  <c r="J112" i="38" s="1"/>
  <c r="L93" i="37"/>
  <c r="S93" i="37" s="1"/>
  <c r="J93" i="38" s="1"/>
  <c r="T69" i="37"/>
  <c r="P69" i="38" s="1"/>
  <c r="O69" i="38"/>
  <c r="T24" i="37"/>
  <c r="P24" i="38" s="1"/>
  <c r="O24" i="38"/>
  <c r="T14" i="37"/>
  <c r="P14" i="38" s="1"/>
  <c r="O14" i="38"/>
  <c r="T156" i="37"/>
  <c r="P156" i="38" s="1"/>
  <c r="O156" i="38"/>
  <c r="T44" i="37"/>
  <c r="P44" i="38" s="1"/>
  <c r="O44" i="38"/>
  <c r="T35" i="37"/>
  <c r="P35" i="38" s="1"/>
  <c r="O35" i="38"/>
  <c r="T18" i="37"/>
  <c r="P18" i="38" s="1"/>
  <c r="O18" i="38"/>
  <c r="T56" i="37"/>
  <c r="P56" i="38" s="1"/>
  <c r="O56" i="38"/>
  <c r="T59" i="37"/>
  <c r="P59" i="38" s="1"/>
  <c r="O59" i="38"/>
  <c r="T46" i="37"/>
  <c r="P46" i="38" s="1"/>
  <c r="O46" i="38"/>
  <c r="T121" i="37"/>
  <c r="P121" i="38" s="1"/>
  <c r="O121" i="38"/>
  <c r="T86" i="37"/>
  <c r="P86" i="38" s="1"/>
  <c r="O86" i="38"/>
  <c r="T93" i="37"/>
  <c r="P93" i="38" s="1"/>
  <c r="O93" i="38"/>
  <c r="T91" i="37"/>
  <c r="P91" i="38" s="1"/>
  <c r="O91" i="38"/>
  <c r="T94" i="37"/>
  <c r="P94" i="38" s="1"/>
  <c r="O94" i="38"/>
  <c r="T165" i="37"/>
  <c r="P165" i="38" s="1"/>
  <c r="O165" i="38"/>
  <c r="T98" i="37"/>
  <c r="P98" i="38" s="1"/>
  <c r="O98" i="38"/>
  <c r="T157" i="37"/>
  <c r="P157" i="38" s="1"/>
  <c r="O157" i="38"/>
  <c r="T33" i="37"/>
  <c r="P33" i="38" s="1"/>
  <c r="O33" i="38"/>
  <c r="T67" i="37"/>
  <c r="P67" i="38" s="1"/>
  <c r="O67" i="38"/>
  <c r="T87" i="37"/>
  <c r="P87" i="38" s="1"/>
  <c r="O87" i="38"/>
  <c r="T102" i="37"/>
  <c r="P102" i="38" s="1"/>
  <c r="O102" i="38"/>
  <c r="T29" i="37"/>
  <c r="P29" i="38" s="1"/>
  <c r="O29" i="38"/>
  <c r="T138" i="37"/>
  <c r="P138" i="38" s="1"/>
  <c r="O138" i="38"/>
  <c r="T140" i="37"/>
  <c r="P140" i="38" s="1"/>
  <c r="O140" i="38"/>
  <c r="T133" i="37"/>
  <c r="P133" i="38" s="1"/>
  <c r="O133" i="38"/>
  <c r="T160" i="37"/>
  <c r="P160" i="38" s="1"/>
  <c r="O160" i="38"/>
  <c r="T142" i="37"/>
  <c r="P142" i="38" s="1"/>
  <c r="O142" i="38"/>
  <c r="T70" i="37"/>
  <c r="P70" i="38" s="1"/>
  <c r="O70" i="38"/>
  <c r="T74" i="37"/>
  <c r="P74" i="38" s="1"/>
  <c r="O74" i="38"/>
  <c r="T85" i="37"/>
  <c r="P85" i="38" s="1"/>
  <c r="O85" i="38"/>
  <c r="T117" i="37"/>
  <c r="P117" i="38" s="1"/>
  <c r="O117" i="38"/>
  <c r="T50" i="37"/>
  <c r="P50" i="38" s="1"/>
  <c r="O50" i="38"/>
  <c r="T128" i="37"/>
  <c r="P128" i="38" s="1"/>
  <c r="O128" i="38"/>
  <c r="T40" i="37"/>
  <c r="P40" i="38" s="1"/>
  <c r="O40" i="38"/>
  <c r="T110" i="37"/>
  <c r="P110" i="38" s="1"/>
  <c r="O110" i="38"/>
  <c r="T153" i="37"/>
  <c r="P153" i="38" s="1"/>
  <c r="O153" i="38"/>
  <c r="T118" i="37"/>
  <c r="P118" i="38" s="1"/>
  <c r="O118" i="38"/>
  <c r="T45" i="37"/>
  <c r="P45" i="38" s="1"/>
  <c r="O45" i="38"/>
  <c r="T170" i="37"/>
  <c r="P170" i="38" s="1"/>
  <c r="O170" i="38"/>
  <c r="T30" i="37"/>
  <c r="P30" i="38" s="1"/>
  <c r="O30" i="38"/>
  <c r="T148" i="37"/>
  <c r="P148" i="38" s="1"/>
  <c r="O148" i="38"/>
  <c r="T105" i="37"/>
  <c r="P105" i="38" s="1"/>
  <c r="O105" i="38"/>
  <c r="T129" i="37"/>
  <c r="P129" i="38" s="1"/>
  <c r="O129" i="38"/>
  <c r="T146" i="37"/>
  <c r="P146" i="38" s="1"/>
  <c r="O146" i="38"/>
  <c r="T113" i="37"/>
  <c r="P113" i="38" s="1"/>
  <c r="O113" i="38"/>
  <c r="T68" i="37"/>
  <c r="P68" i="38" s="1"/>
  <c r="O68" i="38"/>
  <c r="T100" i="37"/>
  <c r="P100" i="38" s="1"/>
  <c r="O100" i="38"/>
  <c r="T37" i="37"/>
  <c r="P37" i="38" s="1"/>
  <c r="O37" i="38"/>
  <c r="T107" i="37"/>
  <c r="P107" i="38" s="1"/>
  <c r="O107" i="38"/>
  <c r="T52" i="37"/>
  <c r="P52" i="38" s="1"/>
  <c r="O52" i="38"/>
  <c r="T92" i="37"/>
  <c r="P92" i="38" s="1"/>
  <c r="O92" i="38"/>
  <c r="T95" i="37"/>
  <c r="P95" i="38" s="1"/>
  <c r="O95" i="38"/>
  <c r="T66" i="37"/>
  <c r="P66" i="38" s="1"/>
  <c r="O66" i="38"/>
  <c r="T97" i="37"/>
  <c r="P97" i="38" s="1"/>
  <c r="O97" i="38"/>
  <c r="L99" i="37"/>
  <c r="I99" i="38" s="1"/>
  <c r="L121" i="37"/>
  <c r="S121" i="37" s="1"/>
  <c r="J121" i="38" s="1"/>
  <c r="L152" i="37"/>
  <c r="S152" i="37" s="1"/>
  <c r="J152" i="38" s="1"/>
  <c r="L60" i="37"/>
  <c r="S60" i="37" s="1"/>
  <c r="J60" i="38" s="1"/>
  <c r="L103" i="37"/>
  <c r="I103" i="38" s="1"/>
  <c r="L129" i="37"/>
  <c r="S129" i="37" s="1"/>
  <c r="J129" i="38" s="1"/>
  <c r="L24" i="37"/>
  <c r="S24" i="37" s="1"/>
  <c r="J24" i="38" s="1"/>
  <c r="L44" i="37"/>
  <c r="S44" i="37" s="1"/>
  <c r="J44" i="38" s="1"/>
  <c r="L65" i="37"/>
  <c r="I65" i="38" s="1"/>
  <c r="L92" i="37"/>
  <c r="S92" i="37" s="1"/>
  <c r="J92" i="38" s="1"/>
  <c r="L42" i="37"/>
  <c r="S42" i="37" s="1"/>
  <c r="J42" i="38" s="1"/>
  <c r="L142" i="37"/>
  <c r="S142" i="37" s="1"/>
  <c r="J142" i="38" s="1"/>
  <c r="L109" i="37"/>
  <c r="I109" i="38" s="1"/>
  <c r="L84" i="37"/>
  <c r="S84" i="37" s="1"/>
  <c r="J84" i="38" s="1"/>
  <c r="L157" i="37"/>
  <c r="S157" i="37" s="1"/>
  <c r="J157" i="38" s="1"/>
  <c r="L31" i="37"/>
  <c r="S31" i="37" s="1"/>
  <c r="J31" i="38" s="1"/>
  <c r="T81" i="37"/>
  <c r="P81" i="38" s="1"/>
  <c r="O81" i="38"/>
  <c r="T77" i="37"/>
  <c r="P77" i="38" s="1"/>
  <c r="O77" i="38"/>
  <c r="T111" i="37"/>
  <c r="P111" i="38" s="1"/>
  <c r="O111" i="38"/>
  <c r="T58" i="37"/>
  <c r="P58" i="38" s="1"/>
  <c r="O58" i="38"/>
  <c r="T57" i="37"/>
  <c r="P57" i="38" s="1"/>
  <c r="O57" i="38"/>
  <c r="T11" i="37"/>
  <c r="P11" i="38" s="1"/>
  <c r="O11" i="38"/>
  <c r="T76" i="37"/>
  <c r="P76" i="38" s="1"/>
  <c r="O76" i="38"/>
  <c r="T34" i="37"/>
  <c r="P34" i="38" s="1"/>
  <c r="O34" i="38"/>
  <c r="T123" i="37"/>
  <c r="P123" i="38" s="1"/>
  <c r="O123" i="38"/>
  <c r="T137" i="37"/>
  <c r="P137" i="38" s="1"/>
  <c r="O137" i="38"/>
  <c r="T104" i="37"/>
  <c r="P104" i="38" s="1"/>
  <c r="O104" i="38"/>
  <c r="T71" i="37"/>
  <c r="P71" i="38" s="1"/>
  <c r="O71" i="38"/>
  <c r="T43" i="37"/>
  <c r="P43" i="38" s="1"/>
  <c r="O43" i="38"/>
  <c r="T36" i="37"/>
  <c r="P36" i="38" s="1"/>
  <c r="O36" i="38"/>
  <c r="T152" i="37"/>
  <c r="P152" i="38" s="1"/>
  <c r="O152" i="38"/>
  <c r="T116" i="37"/>
  <c r="P116" i="38" s="1"/>
  <c r="O116" i="38"/>
  <c r="T122" i="37"/>
  <c r="P122" i="38" s="1"/>
  <c r="O122" i="38"/>
  <c r="T89" i="37"/>
  <c r="P89" i="38" s="1"/>
  <c r="O89" i="38"/>
  <c r="T42" i="37"/>
  <c r="P42" i="38" s="1"/>
  <c r="O42" i="38"/>
  <c r="L67" i="37"/>
  <c r="S67" i="37" s="1"/>
  <c r="J67" i="38" s="1"/>
  <c r="L130" i="37"/>
  <c r="S130" i="37" s="1"/>
  <c r="J130" i="38" s="1"/>
  <c r="L35" i="37"/>
  <c r="S35" i="37" s="1"/>
  <c r="J35" i="38" s="1"/>
  <c r="L9" i="37"/>
  <c r="I9" i="38" s="1"/>
  <c r="L88" i="37"/>
  <c r="S88" i="37" s="1"/>
  <c r="J88" i="38" s="1"/>
  <c r="L122" i="37"/>
  <c r="S122" i="37" s="1"/>
  <c r="J122" i="38" s="1"/>
  <c r="L27" i="37"/>
  <c r="S27" i="37" s="1"/>
  <c r="J27" i="38" s="1"/>
  <c r="L76" i="37"/>
  <c r="S76" i="37" s="1"/>
  <c r="J76" i="38" s="1"/>
  <c r="L96" i="37"/>
  <c r="I96" i="38" s="1"/>
  <c r="L40" i="37"/>
  <c r="S40" i="37" s="1"/>
  <c r="J40" i="38" s="1"/>
  <c r="L101" i="37"/>
  <c r="S101" i="37" s="1"/>
  <c r="J101" i="38" s="1"/>
  <c r="L73" i="37"/>
  <c r="I73" i="38" s="1"/>
  <c r="L139" i="37"/>
  <c r="S139" i="37" s="1"/>
  <c r="J139" i="38" s="1"/>
  <c r="L91" i="37"/>
  <c r="S91" i="37" s="1"/>
  <c r="J91" i="38" s="1"/>
  <c r="L90" i="37"/>
  <c r="S90" i="37" s="1"/>
  <c r="J90" i="38" s="1"/>
  <c r="L168" i="37"/>
  <c r="S168" i="37" s="1"/>
  <c r="J168" i="38" s="1"/>
  <c r="L75" i="37"/>
  <c r="S75" i="37" s="1"/>
  <c r="J75" i="38" s="1"/>
  <c r="L95" i="37"/>
  <c r="S95" i="37" s="1"/>
  <c r="J95" i="38" s="1"/>
  <c r="L16" i="37"/>
  <c r="S16" i="37" s="1"/>
  <c r="J16" i="38" s="1"/>
  <c r="L53" i="37"/>
  <c r="I53" i="38" s="1"/>
  <c r="L146" i="37"/>
  <c r="S146" i="37" s="1"/>
  <c r="J146" i="38" s="1"/>
  <c r="L33" i="37"/>
  <c r="S33" i="37" s="1"/>
  <c r="J33" i="38" s="1"/>
  <c r="L165" i="37"/>
  <c r="S165" i="37" s="1"/>
  <c r="J165" i="38" s="1"/>
  <c r="L62" i="37"/>
  <c r="S62" i="37" s="1"/>
  <c r="J62" i="38" s="1"/>
  <c r="L138" i="37"/>
  <c r="I138" i="38" s="1"/>
  <c r="L25" i="37"/>
  <c r="S25" i="37" s="1"/>
  <c r="J25" i="38" s="1"/>
  <c r="L118" i="37"/>
  <c r="S118" i="37" s="1"/>
  <c r="J118" i="38" s="1"/>
  <c r="L23" i="37"/>
  <c r="I23" i="38" s="1"/>
  <c r="L80" i="37"/>
  <c r="S80" i="37" s="1"/>
  <c r="J80" i="38" s="1"/>
  <c r="L63" i="37"/>
  <c r="S63" i="37" s="1"/>
  <c r="J63" i="38" s="1"/>
  <c r="L137" i="37"/>
  <c r="S137" i="37" s="1"/>
  <c r="J137" i="38" s="1"/>
  <c r="L86" i="37"/>
  <c r="S86" i="37" s="1"/>
  <c r="J86" i="38" s="1"/>
  <c r="L156" i="37"/>
  <c r="S156" i="37" s="1"/>
  <c r="J156" i="38" s="1"/>
  <c r="L47" i="37"/>
  <c r="S47" i="37" s="1"/>
  <c r="J47" i="38" s="1"/>
  <c r="L127" i="37"/>
  <c r="S127" i="37" s="1"/>
  <c r="J127" i="38" s="1"/>
  <c r="L77" i="37"/>
  <c r="S77" i="37" s="1"/>
  <c r="J77" i="38" s="1"/>
  <c r="L46" i="37"/>
  <c r="S46" i="37" s="1"/>
  <c r="J46" i="38" s="1"/>
  <c r="L167" i="37"/>
  <c r="L98" i="37"/>
  <c r="S98" i="37" s="1"/>
  <c r="J98" i="38" s="1"/>
  <c r="T79" i="37"/>
  <c r="P79" i="38" s="1"/>
  <c r="O79" i="38"/>
  <c r="T127" i="37"/>
  <c r="P127" i="38" s="1"/>
  <c r="O127" i="38"/>
  <c r="T48" i="37"/>
  <c r="P48" i="38" s="1"/>
  <c r="O48" i="38"/>
  <c r="T134" i="37"/>
  <c r="P134" i="38" s="1"/>
  <c r="O134" i="38"/>
  <c r="T27" i="37"/>
  <c r="P27" i="38" s="1"/>
  <c r="O27" i="38"/>
  <c r="T21" i="37"/>
  <c r="P21" i="38" s="1"/>
  <c r="O21" i="38"/>
  <c r="T82" i="37"/>
  <c r="P82" i="38" s="1"/>
  <c r="O82" i="38"/>
  <c r="T61" i="37"/>
  <c r="P61" i="38" s="1"/>
  <c r="O61" i="38"/>
  <c r="T12" i="37"/>
  <c r="P12" i="38" s="1"/>
  <c r="O12" i="38"/>
  <c r="T15" i="37"/>
  <c r="P15" i="38" s="1"/>
  <c r="O15" i="38"/>
  <c r="T55" i="37"/>
  <c r="P55" i="38" s="1"/>
  <c r="O55" i="38"/>
  <c r="T83" i="37"/>
  <c r="P83" i="38" s="1"/>
  <c r="O83" i="38"/>
  <c r="T31" i="37"/>
  <c r="P31" i="38" s="1"/>
  <c r="O31" i="38"/>
  <c r="T17" i="37"/>
  <c r="P17" i="38" s="1"/>
  <c r="O17" i="38"/>
  <c r="T99" i="37"/>
  <c r="P99" i="38" s="1"/>
  <c r="O99" i="38"/>
  <c r="T143" i="37"/>
  <c r="P143" i="38" s="1"/>
  <c r="O143" i="38"/>
  <c r="T162" i="37"/>
  <c r="P162" i="38" s="1"/>
  <c r="O162" i="38"/>
  <c r="T72" i="37"/>
  <c r="P72" i="38" s="1"/>
  <c r="O72" i="38"/>
  <c r="T145" i="37"/>
  <c r="P145" i="38" s="1"/>
  <c r="O145" i="38"/>
  <c r="T13" i="37"/>
  <c r="P13" i="38" s="1"/>
  <c r="O13" i="38"/>
  <c r="N6" i="37"/>
  <c r="T8" i="37"/>
  <c r="O8" i="38"/>
  <c r="T166" i="37"/>
  <c r="P166" i="38" s="1"/>
  <c r="O166" i="38"/>
  <c r="T109" i="37"/>
  <c r="P109" i="38" s="1"/>
  <c r="O109" i="38"/>
  <c r="T167" i="37"/>
  <c r="P167" i="38" s="1"/>
  <c r="O167" i="38"/>
  <c r="T126" i="37"/>
  <c r="P126" i="38" s="1"/>
  <c r="O126" i="38"/>
  <c r="T28" i="37"/>
  <c r="P28" i="38" s="1"/>
  <c r="O28" i="38"/>
  <c r="T26" i="37"/>
  <c r="P26" i="38" s="1"/>
  <c r="O26" i="38"/>
  <c r="T41" i="37"/>
  <c r="P41" i="38" s="1"/>
  <c r="O41" i="38"/>
  <c r="T51" i="37"/>
  <c r="P51" i="38" s="1"/>
  <c r="O51" i="38"/>
  <c r="T144" i="37"/>
  <c r="P144" i="38" s="1"/>
  <c r="O144" i="38"/>
  <c r="T60" i="37"/>
  <c r="P60" i="38" s="1"/>
  <c r="O60" i="38"/>
  <c r="T47" i="37"/>
  <c r="P47" i="38" s="1"/>
  <c r="O47" i="38"/>
  <c r="T114" i="37"/>
  <c r="P114" i="38" s="1"/>
  <c r="O114" i="38"/>
  <c r="T63" i="37"/>
  <c r="P63" i="38" s="1"/>
  <c r="O63" i="38"/>
  <c r="T49" i="37"/>
  <c r="P49" i="38" s="1"/>
  <c r="O49" i="38"/>
  <c r="T131" i="37"/>
  <c r="P131" i="38" s="1"/>
  <c r="O131" i="38"/>
  <c r="T119" i="37"/>
  <c r="P119" i="38" s="1"/>
  <c r="O119" i="38"/>
  <c r="T23" i="37"/>
  <c r="P23" i="38" s="1"/>
  <c r="O23" i="38"/>
  <c r="T125" i="37"/>
  <c r="P125" i="38" s="1"/>
  <c r="O125" i="38"/>
  <c r="T80" i="37"/>
  <c r="P80" i="38" s="1"/>
  <c r="O80" i="38"/>
  <c r="T158" i="37"/>
  <c r="P158" i="38" s="1"/>
  <c r="O158" i="38"/>
  <c r="S11" i="37"/>
  <c r="J11" i="38" s="1"/>
  <c r="I11" i="38"/>
  <c r="S74" i="37"/>
  <c r="J74" i="38" s="1"/>
  <c r="S106" i="37"/>
  <c r="J106" i="38" s="1"/>
  <c r="I155" i="38"/>
  <c r="S87" i="37"/>
  <c r="J87" i="38" s="1"/>
  <c r="S13" i="37"/>
  <c r="J13" i="38" s="1"/>
  <c r="S36" i="37"/>
  <c r="J36" i="38" s="1"/>
  <c r="S51" i="37"/>
  <c r="J51" i="38" s="1"/>
  <c r="S69" i="37"/>
  <c r="J69" i="38" s="1"/>
  <c r="I69" i="38"/>
  <c r="S119" i="37"/>
  <c r="J119" i="38" s="1"/>
  <c r="I119" i="38"/>
  <c r="I66" i="38"/>
  <c r="S140" i="37"/>
  <c r="J140" i="38" s="1"/>
  <c r="I140" i="38"/>
  <c r="S170" i="37"/>
  <c r="J170" i="38" s="1"/>
  <c r="S58" i="37"/>
  <c r="J58" i="38" s="1"/>
  <c r="I58" i="38"/>
  <c r="S148" i="37"/>
  <c r="J148" i="38" s="1"/>
  <c r="I148" i="38"/>
  <c r="S56" i="37"/>
  <c r="J56" i="38" s="1"/>
  <c r="I56" i="38"/>
  <c r="S105" i="37"/>
  <c r="J105" i="38" s="1"/>
  <c r="I105" i="38"/>
  <c r="I169" i="38"/>
  <c r="S83" i="37"/>
  <c r="J83" i="38" s="1"/>
  <c r="I83" i="38"/>
  <c r="S163" i="37"/>
  <c r="J163" i="38" s="1"/>
  <c r="I163" i="38"/>
  <c r="S161" i="37"/>
  <c r="J161" i="38" s="1"/>
  <c r="I161" i="38"/>
  <c r="S10" i="37"/>
  <c r="J10" i="38" s="1"/>
  <c r="I10" i="38"/>
  <c r="S134" i="37"/>
  <c r="J134" i="38" s="1"/>
  <c r="I134" i="38"/>
  <c r="I15" i="38"/>
  <c r="S108" i="37"/>
  <c r="J108" i="38" s="1"/>
  <c r="S34" i="37"/>
  <c r="J34" i="38" s="1"/>
  <c r="I34" i="38"/>
  <c r="S158" i="37"/>
  <c r="J158" i="38" s="1"/>
  <c r="S81" i="37"/>
  <c r="J81" i="38" s="1"/>
  <c r="I81" i="38"/>
  <c r="S100" i="37"/>
  <c r="J100" i="38" s="1"/>
  <c r="I100" i="38"/>
  <c r="S166" i="37"/>
  <c r="J166" i="38" s="1"/>
  <c r="I166" i="38"/>
  <c r="S151" i="37"/>
  <c r="J151" i="38" s="1"/>
  <c r="I151" i="38"/>
  <c r="S71" i="37"/>
  <c r="J71" i="38" s="1"/>
  <c r="I71" i="38"/>
  <c r="S110" i="37"/>
  <c r="J110" i="38" s="1"/>
  <c r="I110" i="38"/>
  <c r="S149" i="37"/>
  <c r="J149" i="38" s="1"/>
  <c r="S29" i="37"/>
  <c r="J29" i="38" s="1"/>
  <c r="I29" i="38"/>
  <c r="S102" i="37"/>
  <c r="J102" i="38" s="1"/>
  <c r="I102" i="38"/>
  <c r="S111" i="37"/>
  <c r="J111" i="38" s="1"/>
  <c r="S32" i="37"/>
  <c r="J32" i="38" s="1"/>
  <c r="I32" i="38"/>
  <c r="S70" i="37"/>
  <c r="J70" i="38" s="1"/>
  <c r="I70" i="38"/>
  <c r="S94" i="37"/>
  <c r="J94" i="38" s="1"/>
  <c r="S18" i="37"/>
  <c r="J18" i="38" s="1"/>
  <c r="I18" i="38"/>
  <c r="S131" i="37"/>
  <c r="J131" i="38" s="1"/>
  <c r="I131" i="38"/>
  <c r="S20" i="37"/>
  <c r="J20" i="38" s="1"/>
  <c r="I20" i="38"/>
  <c r="S133" i="37"/>
  <c r="J133" i="38" s="1"/>
  <c r="I133" i="38"/>
  <c r="S22" i="37"/>
  <c r="J22" i="38" s="1"/>
  <c r="I22" i="38"/>
  <c r="S141" i="37"/>
  <c r="J141" i="38" s="1"/>
  <c r="I135" i="38"/>
  <c r="S82" i="37"/>
  <c r="J82" i="38" s="1"/>
  <c r="S61" i="37"/>
  <c r="J61" i="38" s="1"/>
  <c r="I61" i="38"/>
  <c r="S162" i="37"/>
  <c r="J162" i="38" s="1"/>
  <c r="I162" i="38"/>
  <c r="S126" i="37"/>
  <c r="J126" i="38" s="1"/>
  <c r="I126" i="38"/>
  <c r="S79" i="37"/>
  <c r="J79" i="38" s="1"/>
  <c r="I79" i="38"/>
  <c r="S154" i="37"/>
  <c r="J154" i="38" s="1"/>
  <c r="S41" i="37"/>
  <c r="J41" i="38" s="1"/>
  <c r="I41" i="38"/>
  <c r="S123" i="37"/>
  <c r="J123" i="38" s="1"/>
  <c r="I123" i="38"/>
  <c r="S160" i="37"/>
  <c r="J160" i="38" s="1"/>
  <c r="I160" i="38"/>
  <c r="I68" i="38"/>
  <c r="S99" i="37"/>
  <c r="J99" i="38" s="1"/>
  <c r="I60" i="38"/>
  <c r="I129" i="38"/>
  <c r="I44" i="38"/>
  <c r="S65" i="37"/>
  <c r="J65" i="38" s="1"/>
  <c r="I142" i="38"/>
  <c r="I84" i="38"/>
  <c r="L164" i="37"/>
  <c r="L72" i="37"/>
  <c r="L97" i="37"/>
  <c r="L116" i="37"/>
  <c r="L48" i="37"/>
  <c r="S50" i="37"/>
  <c r="J50" i="38" s="1"/>
  <c r="I50" i="38"/>
  <c r="I114" i="38"/>
  <c r="I125" i="38"/>
  <c r="S115" i="37"/>
  <c r="J115" i="38" s="1"/>
  <c r="S64" i="37"/>
  <c r="J64" i="38" s="1"/>
  <c r="I64" i="38"/>
  <c r="S147" i="37"/>
  <c r="J147" i="38" s="1"/>
  <c r="I147" i="38"/>
  <c r="I144" i="38"/>
  <c r="S52" i="37"/>
  <c r="J52" i="38" s="1"/>
  <c r="I52" i="38"/>
  <c r="I136" i="38"/>
  <c r="S43" i="37"/>
  <c r="J43" i="38" s="1"/>
  <c r="I43" i="38"/>
  <c r="I157" i="38"/>
  <c r="S167" i="37"/>
  <c r="J167" i="38" s="1"/>
  <c r="I167" i="38"/>
  <c r="I120" i="38"/>
  <c r="I88" i="38"/>
  <c r="I101" i="38"/>
  <c r="I90" i="38"/>
  <c r="I146" i="38"/>
  <c r="I118" i="38"/>
  <c r="I137" i="38"/>
  <c r="I46" i="38"/>
  <c r="L150" i="37"/>
  <c r="L37" i="37"/>
  <c r="L45" i="37"/>
  <c r="L39" i="37"/>
  <c r="R122" i="37"/>
  <c r="D122" i="38" s="1"/>
  <c r="C122" i="38"/>
  <c r="C16" i="38"/>
  <c r="R138" i="37"/>
  <c r="D138" i="38" s="1"/>
  <c r="R52" i="37"/>
  <c r="D52" i="38" s="1"/>
  <c r="C52" i="38"/>
  <c r="R139" i="37"/>
  <c r="D139" i="38" s="1"/>
  <c r="C139" i="38"/>
  <c r="R81" i="37"/>
  <c r="D81" i="38" s="1"/>
  <c r="R74" i="37"/>
  <c r="D74" i="38" s="1"/>
  <c r="C74" i="38"/>
  <c r="R58" i="37"/>
  <c r="D58" i="38" s="1"/>
  <c r="R41" i="37"/>
  <c r="D41" i="38" s="1"/>
  <c r="C41" i="38"/>
  <c r="R54" i="37"/>
  <c r="D54" i="38" s="1"/>
  <c r="C54" i="38"/>
  <c r="J126" i="37"/>
  <c r="J108" i="37"/>
  <c r="J113" i="37"/>
  <c r="J153" i="37"/>
  <c r="J114" i="37"/>
  <c r="J160" i="37"/>
  <c r="J96" i="37"/>
  <c r="J117" i="37"/>
  <c r="J38" i="37"/>
  <c r="J11" i="37"/>
  <c r="J51" i="37"/>
  <c r="J159" i="37"/>
  <c r="J87" i="37"/>
  <c r="J104" i="37"/>
  <c r="J112" i="37"/>
  <c r="J167" i="37"/>
  <c r="J142" i="37"/>
  <c r="J162" i="37"/>
  <c r="J119" i="37"/>
  <c r="J24" i="37"/>
  <c r="J57" i="37"/>
  <c r="J154" i="37"/>
  <c r="J35" i="37"/>
  <c r="J155" i="37"/>
  <c r="J158" i="37"/>
  <c r="J127" i="37"/>
  <c r="J163" i="37"/>
  <c r="J128" i="37"/>
  <c r="J22" i="37"/>
  <c r="J28" i="37"/>
  <c r="J20" i="37"/>
  <c r="J125" i="37"/>
  <c r="J105" i="37"/>
  <c r="J161" i="37"/>
  <c r="J149" i="37"/>
  <c r="J100" i="37"/>
  <c r="J129" i="37"/>
  <c r="J151" i="37"/>
  <c r="J46" i="37"/>
  <c r="J15" i="37"/>
  <c r="J69" i="37"/>
  <c r="J12" i="37"/>
  <c r="J148" i="37"/>
  <c r="J66" i="37"/>
  <c r="J90" i="37"/>
  <c r="J93" i="37"/>
  <c r="J43" i="37"/>
  <c r="J14" i="37"/>
  <c r="J86" i="37"/>
  <c r="J13" i="37"/>
  <c r="J130" i="37"/>
  <c r="J84" i="37"/>
  <c r="J92" i="37"/>
  <c r="J17" i="37"/>
  <c r="J145" i="37"/>
  <c r="J82" i="37"/>
  <c r="J144" i="37"/>
  <c r="J157" i="37"/>
  <c r="J168" i="37"/>
  <c r="J30" i="37"/>
  <c r="J44" i="37"/>
  <c r="J36" i="37"/>
  <c r="J143" i="37"/>
  <c r="J97" i="37"/>
  <c r="J169" i="37"/>
  <c r="J165" i="37"/>
  <c r="J133" i="37"/>
  <c r="J141" i="37"/>
  <c r="J152" i="37"/>
  <c r="J118" i="37"/>
  <c r="J71" i="37"/>
  <c r="J26" i="37"/>
  <c r="J156" i="37"/>
  <c r="J49" i="37"/>
  <c r="J106" i="37"/>
  <c r="J64" i="37"/>
  <c r="J10" i="37"/>
  <c r="J98" i="37"/>
  <c r="J136" i="37"/>
  <c r="J9" i="37"/>
  <c r="J8" i="37"/>
  <c r="J61" i="37"/>
  <c r="J18" i="37"/>
  <c r="J80" i="37"/>
  <c r="J132" i="37"/>
  <c r="J56" i="37"/>
  <c r="J45" i="37"/>
  <c r="J123" i="37"/>
  <c r="J109" i="37"/>
  <c r="J101" i="37"/>
  <c r="J85" i="37"/>
  <c r="J67" i="37"/>
  <c r="J89" i="37"/>
  <c r="J140" i="37"/>
  <c r="J83" i="37"/>
  <c r="J76" i="37"/>
  <c r="J103" i="37"/>
  <c r="J75" i="37"/>
  <c r="J47" i="37"/>
  <c r="J27" i="37"/>
  <c r="J134" i="37"/>
  <c r="J73" i="37"/>
  <c r="J42" i="37"/>
  <c r="J164" i="37"/>
  <c r="J33" i="37"/>
  <c r="J137" i="37"/>
  <c r="J31" i="37"/>
  <c r="J102" i="37"/>
  <c r="J78" i="37"/>
  <c r="J60" i="37"/>
  <c r="J48" i="37"/>
  <c r="J63" i="37"/>
  <c r="J34" i="37"/>
  <c r="J94" i="37"/>
  <c r="J150" i="37"/>
  <c r="J39" i="37"/>
  <c r="J25" i="37"/>
  <c r="J107" i="37"/>
  <c r="J99" i="37"/>
  <c r="J91" i="37"/>
  <c r="J88" i="37"/>
  <c r="J53" i="37"/>
  <c r="J120" i="37"/>
  <c r="J68" i="37"/>
  <c r="J121" i="37"/>
  <c r="J147" i="37"/>
  <c r="J146" i="37"/>
  <c r="J135" i="37"/>
  <c r="J79" i="37"/>
  <c r="J62" i="37"/>
  <c r="J32" i="37"/>
  <c r="J59" i="37"/>
  <c r="J170" i="37"/>
  <c r="J19" i="37"/>
  <c r="J116" i="37"/>
  <c r="J72" i="37"/>
  <c r="J70" i="37"/>
  <c r="J29" i="37"/>
  <c r="J131" i="37"/>
  <c r="J111" i="37"/>
  <c r="J77" i="37"/>
  <c r="J65" i="37"/>
  <c r="J50" i="37"/>
  <c r="J110" i="37"/>
  <c r="J166" i="37"/>
  <c r="J23" i="37"/>
  <c r="J115" i="37"/>
  <c r="J95" i="37"/>
  <c r="J37" i="37"/>
  <c r="J21" i="37"/>
  <c r="P146" i="26"/>
  <c r="O146" i="26"/>
  <c r="E146" i="26"/>
  <c r="I158" i="26"/>
  <c r="E158" i="26"/>
  <c r="I154" i="26"/>
  <c r="E148" i="26"/>
  <c r="I162" i="26"/>
  <c r="N161" i="26"/>
  <c r="M161" i="26"/>
  <c r="E161" i="26"/>
  <c r="E159" i="26"/>
  <c r="I156" i="26"/>
  <c r="E156" i="26"/>
  <c r="J155" i="26"/>
  <c r="I155" i="26"/>
  <c r="E155" i="26"/>
  <c r="J153" i="26"/>
  <c r="I153" i="26"/>
  <c r="I152" i="26"/>
  <c r="I150" i="26"/>
  <c r="J149" i="26"/>
  <c r="I149" i="26"/>
  <c r="I147" i="26"/>
  <c r="E147" i="26"/>
  <c r="I145" i="26"/>
  <c r="I144" i="26"/>
  <c r="I134" i="26"/>
  <c r="I130" i="26"/>
  <c r="F130" i="26"/>
  <c r="E130" i="26"/>
  <c r="F128" i="26"/>
  <c r="E128" i="26"/>
  <c r="I124" i="26"/>
  <c r="I120" i="26"/>
  <c r="D77" i="43" l="1"/>
  <c r="I80" i="38"/>
  <c r="I139" i="38"/>
  <c r="C77" i="43" s="1"/>
  <c r="E77" i="43" s="1"/>
  <c r="I132" i="38"/>
  <c r="K132" i="38" s="1"/>
  <c r="I78" i="38"/>
  <c r="I55" i="38"/>
  <c r="S8" i="37"/>
  <c r="I38" i="38"/>
  <c r="K38" i="38" s="1"/>
  <c r="Q162" i="38"/>
  <c r="R162" i="38" s="1"/>
  <c r="E149" i="36" s="1"/>
  <c r="Q31" i="38"/>
  <c r="R31" i="38" s="1"/>
  <c r="E68" i="36" s="1"/>
  <c r="Q12" i="38"/>
  <c r="R12" i="38" s="1"/>
  <c r="E22" i="36" s="1"/>
  <c r="Q27" i="38"/>
  <c r="R27" i="38" s="1"/>
  <c r="E13" i="36" s="1"/>
  <c r="Q79" i="38"/>
  <c r="R79" i="38" s="1"/>
  <c r="E159" i="36" s="1"/>
  <c r="Q108" i="38"/>
  <c r="R108" i="38" s="1"/>
  <c r="E156" i="36" s="1"/>
  <c r="Q103" i="38"/>
  <c r="R103" i="38" s="1"/>
  <c r="E117" i="36" s="1"/>
  <c r="Q78" i="38"/>
  <c r="R78" i="38" s="1"/>
  <c r="E112" i="36" s="1"/>
  <c r="Q22" i="38"/>
  <c r="R22" i="38" s="1"/>
  <c r="E89" i="36" s="1"/>
  <c r="Q75" i="38"/>
  <c r="R75" i="38" s="1"/>
  <c r="E109" i="36" s="1"/>
  <c r="R40" i="37"/>
  <c r="D40" i="38" s="1"/>
  <c r="E40" i="38" s="1"/>
  <c r="R124" i="37"/>
  <c r="D124" i="38" s="1"/>
  <c r="D18" i="43" s="1"/>
  <c r="I156" i="38"/>
  <c r="S138" i="37"/>
  <c r="J138" i="38" s="1"/>
  <c r="I75" i="38"/>
  <c r="K75" i="38" s="1"/>
  <c r="S96" i="37"/>
  <c r="J96" i="38" s="1"/>
  <c r="K96" i="38" s="1"/>
  <c r="I67" i="38"/>
  <c r="S128" i="37"/>
  <c r="J128" i="38" s="1"/>
  <c r="I12" i="38"/>
  <c r="K12" i="38" s="1"/>
  <c r="I42" i="38"/>
  <c r="K42" i="38" s="1"/>
  <c r="I24" i="38"/>
  <c r="I152" i="38"/>
  <c r="S28" i="37"/>
  <c r="J28" i="38" s="1"/>
  <c r="S49" i="37"/>
  <c r="J49" i="38" s="1"/>
  <c r="I19" i="38"/>
  <c r="I59" i="38"/>
  <c r="S14" i="37"/>
  <c r="J14" i="38" s="1"/>
  <c r="I124" i="38"/>
  <c r="C18" i="43" s="1"/>
  <c r="C143" i="43"/>
  <c r="Q145" i="38"/>
  <c r="R145" i="38" s="1"/>
  <c r="E52" i="36" s="1"/>
  <c r="Q99" i="38"/>
  <c r="R99" i="38" s="1"/>
  <c r="E128" i="36" s="1"/>
  <c r="Q55" i="38"/>
  <c r="R55" i="38" s="1"/>
  <c r="E47" i="36" s="1"/>
  <c r="Q82" i="38"/>
  <c r="R82" i="38" s="1"/>
  <c r="E43" i="36" s="1"/>
  <c r="Q48" i="38"/>
  <c r="R48" i="38" s="1"/>
  <c r="E144" i="36" s="1"/>
  <c r="Q136" i="38"/>
  <c r="R136" i="38" s="1"/>
  <c r="E70" i="36" s="1"/>
  <c r="Q53" i="38"/>
  <c r="R53" i="38" s="1"/>
  <c r="E139" i="36" s="1"/>
  <c r="Q164" i="38"/>
  <c r="R164" i="38" s="1"/>
  <c r="E91" i="36" s="1"/>
  <c r="Q101" i="38"/>
  <c r="R101" i="38" s="1"/>
  <c r="E166" i="36" s="1"/>
  <c r="Q147" i="38"/>
  <c r="R147" i="38" s="1"/>
  <c r="E67" i="36" s="1"/>
  <c r="S23" i="37"/>
  <c r="J23" i="38" s="1"/>
  <c r="I62" i="38"/>
  <c r="S73" i="37"/>
  <c r="J73" i="38" s="1"/>
  <c r="I76" i="38"/>
  <c r="K76" i="38" s="1"/>
  <c r="I113" i="38"/>
  <c r="K113" i="38" s="1"/>
  <c r="C55" i="38"/>
  <c r="I77" i="38"/>
  <c r="I104" i="38"/>
  <c r="K104" i="38" s="1"/>
  <c r="I143" i="38"/>
  <c r="K143" i="38" s="1"/>
  <c r="I159" i="38"/>
  <c r="I57" i="38"/>
  <c r="I93" i="38"/>
  <c r="K93" i="38" s="1"/>
  <c r="Q23" i="38"/>
  <c r="R23" i="38" s="1"/>
  <c r="E136" i="36" s="1"/>
  <c r="Q63" i="38"/>
  <c r="R63" i="38" s="1"/>
  <c r="E35" i="36" s="1"/>
  <c r="Q144" i="38"/>
  <c r="R144" i="38" s="1"/>
  <c r="E37" i="36" s="1"/>
  <c r="Q28" i="38"/>
  <c r="R28" i="38" s="1"/>
  <c r="E38" i="36" s="1"/>
  <c r="Q166" i="38"/>
  <c r="R166" i="38" s="1"/>
  <c r="E125" i="36" s="1"/>
  <c r="Q42" i="38"/>
  <c r="R42" i="38" s="1"/>
  <c r="E162" i="36" s="1"/>
  <c r="Q152" i="38"/>
  <c r="R152" i="38" s="1"/>
  <c r="E19" i="36" s="1"/>
  <c r="Q104" i="38"/>
  <c r="R104" i="38" s="1"/>
  <c r="E79" i="36" s="1"/>
  <c r="Q76" i="38"/>
  <c r="R76" i="38" s="1"/>
  <c r="E153" i="36" s="1"/>
  <c r="Q111" i="38"/>
  <c r="R111" i="38" s="1"/>
  <c r="E146" i="36" s="1"/>
  <c r="Q66" i="38"/>
  <c r="R66" i="38" s="1"/>
  <c r="E39" i="36" s="1"/>
  <c r="Q107" i="38"/>
  <c r="R107" i="38" s="1"/>
  <c r="E80" i="36" s="1"/>
  <c r="Q113" i="38"/>
  <c r="R113" i="38" s="1"/>
  <c r="E105" i="36" s="1"/>
  <c r="Q129" i="38"/>
  <c r="R129" i="38" s="1"/>
  <c r="E130" i="36" s="1"/>
  <c r="Q170" i="38"/>
  <c r="R170" i="38" s="1"/>
  <c r="E119" i="36" s="1"/>
  <c r="Q110" i="38"/>
  <c r="R110" i="38" s="1"/>
  <c r="E41" i="36" s="1"/>
  <c r="Q117" i="38"/>
  <c r="R117" i="38" s="1"/>
  <c r="E138" i="36" s="1"/>
  <c r="Q142" i="38"/>
  <c r="R142" i="38" s="1"/>
  <c r="E78" i="36" s="1"/>
  <c r="Q138" i="38"/>
  <c r="R138" i="38" s="1"/>
  <c r="E147" i="36" s="1"/>
  <c r="Q67" i="38"/>
  <c r="R67" i="38" s="1"/>
  <c r="E94" i="36" s="1"/>
  <c r="Q165" i="38"/>
  <c r="R165" i="38" s="1"/>
  <c r="E143" i="36" s="1"/>
  <c r="Q91" i="38"/>
  <c r="R91" i="38" s="1"/>
  <c r="E45" i="36" s="1"/>
  <c r="Q46" i="38"/>
  <c r="R46" i="38" s="1"/>
  <c r="E134" i="36" s="1"/>
  <c r="Q35" i="38"/>
  <c r="R35" i="38" s="1"/>
  <c r="E29" i="36" s="1"/>
  <c r="Q24" i="38"/>
  <c r="R24" i="38" s="1"/>
  <c r="E92" i="36" s="1"/>
  <c r="Q88" i="38"/>
  <c r="R88" i="38" s="1"/>
  <c r="E31" i="36" s="1"/>
  <c r="Q151" i="38"/>
  <c r="R151" i="38" s="1"/>
  <c r="E10" i="36" s="1"/>
  <c r="Q25" i="38"/>
  <c r="R25" i="38" s="1"/>
  <c r="E142" i="36" s="1"/>
  <c r="Q132" i="38"/>
  <c r="R132" i="38" s="1"/>
  <c r="E167" i="36" s="1"/>
  <c r="Q163" i="38"/>
  <c r="R163" i="38" s="1"/>
  <c r="E145" i="36" s="1"/>
  <c r="Q20" i="38"/>
  <c r="R20" i="38" s="1"/>
  <c r="E101" i="36" s="1"/>
  <c r="Q169" i="38"/>
  <c r="R169" i="38" s="1"/>
  <c r="E131" i="36" s="1"/>
  <c r="Q16" i="38"/>
  <c r="R16" i="38" s="1"/>
  <c r="E161" i="36" s="1"/>
  <c r="Q115" i="38"/>
  <c r="R115" i="38" s="1"/>
  <c r="E108" i="36" s="1"/>
  <c r="Q90" i="38"/>
  <c r="R90" i="38" s="1"/>
  <c r="E82" i="36" s="1"/>
  <c r="Q161" i="38"/>
  <c r="R161" i="38" s="1"/>
  <c r="E150" i="36" s="1"/>
  <c r="Q120" i="38"/>
  <c r="R120" i="38" s="1"/>
  <c r="E15" i="36" s="1"/>
  <c r="Q154" i="38"/>
  <c r="R154" i="38" s="1"/>
  <c r="E21" i="36" s="1"/>
  <c r="I86" i="38"/>
  <c r="I165" i="38"/>
  <c r="S53" i="37"/>
  <c r="J53" i="38" s="1"/>
  <c r="K53" i="38" s="1"/>
  <c r="I168" i="38"/>
  <c r="I27" i="38"/>
  <c r="S9" i="37"/>
  <c r="J9" i="38" s="1"/>
  <c r="I98" i="38"/>
  <c r="K98" i="38" s="1"/>
  <c r="I117" i="38"/>
  <c r="S85" i="37"/>
  <c r="J85" i="38" s="1"/>
  <c r="S109" i="37"/>
  <c r="J109" i="38" s="1"/>
  <c r="K109" i="38" s="1"/>
  <c r="I92" i="38"/>
  <c r="K92" i="38" s="1"/>
  <c r="S103" i="37"/>
  <c r="J103" i="38" s="1"/>
  <c r="I121" i="38"/>
  <c r="I17" i="38"/>
  <c r="I54" i="38"/>
  <c r="C98" i="43" s="1"/>
  <c r="I30" i="38"/>
  <c r="I21" i="38"/>
  <c r="Q80" i="38"/>
  <c r="R80" i="38" s="1"/>
  <c r="E17" i="36" s="1"/>
  <c r="Q131" i="38"/>
  <c r="R131" i="38" s="1"/>
  <c r="E123" i="36" s="1"/>
  <c r="Q47" i="38"/>
  <c r="R47" i="38" s="1"/>
  <c r="E40" i="36" s="1"/>
  <c r="Q41" i="38"/>
  <c r="R41" i="38" s="1"/>
  <c r="E102" i="36" s="1"/>
  <c r="Q167" i="38"/>
  <c r="R167" i="38" s="1"/>
  <c r="E127" i="36" s="1"/>
  <c r="Q122" i="38"/>
  <c r="R122" i="38" s="1"/>
  <c r="E141" i="36" s="1"/>
  <c r="Q43" i="38"/>
  <c r="R43" i="38" s="1"/>
  <c r="E65" i="36" s="1"/>
  <c r="Q123" i="38"/>
  <c r="R123" i="38" s="1"/>
  <c r="E132" i="36" s="1"/>
  <c r="Q57" i="38"/>
  <c r="R57" i="38" s="1"/>
  <c r="E30" i="36" s="1"/>
  <c r="Q81" i="38"/>
  <c r="R81" i="38" s="1"/>
  <c r="E34" i="36" s="1"/>
  <c r="Q92" i="38"/>
  <c r="R92" i="38" s="1"/>
  <c r="E152" i="36" s="1"/>
  <c r="Q100" i="38"/>
  <c r="R100" i="38" s="1"/>
  <c r="E118" i="36" s="1"/>
  <c r="Q148" i="38"/>
  <c r="R148" i="38" s="1"/>
  <c r="E46" i="36" s="1"/>
  <c r="Q118" i="38"/>
  <c r="R118" i="38" s="1"/>
  <c r="E56" i="36" s="1"/>
  <c r="Q128" i="38"/>
  <c r="R128" i="38" s="1"/>
  <c r="E158" i="36" s="1"/>
  <c r="Q74" i="38"/>
  <c r="R74" i="38" s="1"/>
  <c r="E69" i="36" s="1"/>
  <c r="Q133" i="38"/>
  <c r="R133" i="38" s="1"/>
  <c r="E51" i="36" s="1"/>
  <c r="Q102" i="38"/>
  <c r="R102" i="38" s="1"/>
  <c r="E77" i="36" s="1"/>
  <c r="Q157" i="38"/>
  <c r="R157" i="38" s="1"/>
  <c r="E87" i="36" s="1"/>
  <c r="Q86" i="38"/>
  <c r="R86" i="38" s="1"/>
  <c r="E115" i="36" s="1"/>
  <c r="Q56" i="38"/>
  <c r="R56" i="38" s="1"/>
  <c r="E61" i="36" s="1"/>
  <c r="Q156" i="38"/>
  <c r="R156" i="38" s="1"/>
  <c r="E97" i="36" s="1"/>
  <c r="Q149" i="38"/>
  <c r="R149" i="38" s="1"/>
  <c r="E151" i="36" s="1"/>
  <c r="I127" i="38"/>
  <c r="K127" i="38" s="1"/>
  <c r="I16" i="38"/>
  <c r="K16" i="38" s="1"/>
  <c r="I35" i="38"/>
  <c r="I153" i="38"/>
  <c r="I26" i="38"/>
  <c r="K26" i="38" s="1"/>
  <c r="D60" i="43"/>
  <c r="D143" i="43"/>
  <c r="I112" i="38"/>
  <c r="Q72" i="38"/>
  <c r="R72" i="38" s="1"/>
  <c r="E155" i="36" s="1"/>
  <c r="Q17" i="38"/>
  <c r="R17" i="38" s="1"/>
  <c r="E124" i="36" s="1"/>
  <c r="Q83" i="38"/>
  <c r="R83" i="38" s="1"/>
  <c r="E86" i="36" s="1"/>
  <c r="Q61" i="38"/>
  <c r="R61" i="38" s="1"/>
  <c r="E133" i="36" s="1"/>
  <c r="Q134" i="38"/>
  <c r="R134" i="38" s="1"/>
  <c r="E57" i="36" s="1"/>
  <c r="Q135" i="38"/>
  <c r="R135" i="38" s="1"/>
  <c r="E148" i="36" s="1"/>
  <c r="Q54" i="38"/>
  <c r="R54" i="38" s="1"/>
  <c r="E100" i="36" s="1"/>
  <c r="Q139" i="38"/>
  <c r="R139" i="38" s="1"/>
  <c r="E75" i="36" s="1"/>
  <c r="Q141" i="38"/>
  <c r="R141" i="38" s="1"/>
  <c r="E44" i="36" s="1"/>
  <c r="Q9" i="38"/>
  <c r="R9" i="38" s="1"/>
  <c r="E83" i="36" s="1"/>
  <c r="Q38" i="38"/>
  <c r="R38" i="38" s="1"/>
  <c r="E103" i="36" s="1"/>
  <c r="Q106" i="38"/>
  <c r="R106" i="38" s="1"/>
  <c r="E114" i="36" s="1"/>
  <c r="Q159" i="38"/>
  <c r="R159" i="38" s="1"/>
  <c r="E27" i="36" s="1"/>
  <c r="Q62" i="38"/>
  <c r="R62" i="38" s="1"/>
  <c r="E18" i="36" s="1"/>
  <c r="Q130" i="38"/>
  <c r="R130" i="38" s="1"/>
  <c r="E14" i="36" s="1"/>
  <c r="I47" i="38"/>
  <c r="K47" i="38" s="1"/>
  <c r="I63" i="38"/>
  <c r="K63" i="38" s="1"/>
  <c r="I25" i="38"/>
  <c r="K25" i="38" s="1"/>
  <c r="I33" i="38"/>
  <c r="I95" i="38"/>
  <c r="K95" i="38" s="1"/>
  <c r="I91" i="38"/>
  <c r="K91" i="38" s="1"/>
  <c r="I40" i="38"/>
  <c r="C65" i="43" s="1"/>
  <c r="I122" i="38"/>
  <c r="C138" i="43" s="1"/>
  <c r="I130" i="38"/>
  <c r="K130" i="38" s="1"/>
  <c r="I31" i="38"/>
  <c r="K31" i="38" s="1"/>
  <c r="I107" i="38"/>
  <c r="K107" i="38" s="1"/>
  <c r="I89" i="38"/>
  <c r="I145" i="38"/>
  <c r="K145" i="38" s="1"/>
  <c r="Q158" i="38"/>
  <c r="R158" i="38" s="1"/>
  <c r="E81" i="36" s="1"/>
  <c r="Q125" i="38"/>
  <c r="R125" i="38" s="1"/>
  <c r="E73" i="36" s="1"/>
  <c r="Q119" i="38"/>
  <c r="R119" i="38" s="1"/>
  <c r="E110" i="36" s="1"/>
  <c r="Q49" i="38"/>
  <c r="R49" i="38" s="1"/>
  <c r="E42" i="36" s="1"/>
  <c r="Q114" i="38"/>
  <c r="R114" i="38" s="1"/>
  <c r="E122" i="36" s="1"/>
  <c r="Q60" i="38"/>
  <c r="R60" i="38" s="1"/>
  <c r="E116" i="36" s="1"/>
  <c r="Q51" i="38"/>
  <c r="R51" i="38" s="1"/>
  <c r="E137" i="36" s="1"/>
  <c r="Q26" i="38"/>
  <c r="R26" i="38" s="1"/>
  <c r="E169" i="36" s="1"/>
  <c r="Q126" i="38"/>
  <c r="R126" i="38" s="1"/>
  <c r="E28" i="36" s="1"/>
  <c r="Q109" i="38"/>
  <c r="R109" i="38" s="1"/>
  <c r="E74" i="36" s="1"/>
  <c r="T171" i="37"/>
  <c r="P8" i="38"/>
  <c r="Q8" i="38" s="1"/>
  <c r="R8" i="38" s="1"/>
  <c r="E24" i="36" s="1"/>
  <c r="T7" i="37"/>
  <c r="Q89" i="38"/>
  <c r="R89" i="38" s="1"/>
  <c r="E120" i="36" s="1"/>
  <c r="Q116" i="38"/>
  <c r="R116" i="38" s="1"/>
  <c r="E88" i="36" s="1"/>
  <c r="Q36" i="38"/>
  <c r="R36" i="38" s="1"/>
  <c r="E9" i="36" s="1"/>
  <c r="Q71" i="38"/>
  <c r="R71" i="38" s="1"/>
  <c r="E99" i="36" s="1"/>
  <c r="Q137" i="38"/>
  <c r="R137" i="38" s="1"/>
  <c r="E54" i="36" s="1"/>
  <c r="Q34" i="38"/>
  <c r="R34" i="38" s="1"/>
  <c r="E11" i="36" s="1"/>
  <c r="Q11" i="38"/>
  <c r="R11" i="38" s="1"/>
  <c r="E63" i="36" s="1"/>
  <c r="Q58" i="38"/>
  <c r="R58" i="38" s="1"/>
  <c r="E60" i="36" s="1"/>
  <c r="Q77" i="38"/>
  <c r="R77" i="38" s="1"/>
  <c r="E62" i="36" s="1"/>
  <c r="Q97" i="38"/>
  <c r="R97" i="38" s="1"/>
  <c r="E111" i="36" s="1"/>
  <c r="Q95" i="38"/>
  <c r="R95" i="38" s="1"/>
  <c r="E50" i="36" s="1"/>
  <c r="Q52" i="38"/>
  <c r="R52" i="38" s="1"/>
  <c r="E104" i="36" s="1"/>
  <c r="Q37" i="38"/>
  <c r="R37" i="38" s="1"/>
  <c r="E135" i="36" s="1"/>
  <c r="Q68" i="38"/>
  <c r="R68" i="38" s="1"/>
  <c r="E36" i="36" s="1"/>
  <c r="Q146" i="38"/>
  <c r="R146" i="38" s="1"/>
  <c r="E72" i="36" s="1"/>
  <c r="Q105" i="38"/>
  <c r="R105" i="38" s="1"/>
  <c r="E59" i="36" s="1"/>
  <c r="Q30" i="38"/>
  <c r="R30" i="38" s="1"/>
  <c r="E165" i="36" s="1"/>
  <c r="Q45" i="38"/>
  <c r="R45" i="38" s="1"/>
  <c r="E71" i="36" s="1"/>
  <c r="Q153" i="38"/>
  <c r="R153" i="38" s="1"/>
  <c r="E23" i="36" s="1"/>
  <c r="Q40" i="38"/>
  <c r="R40" i="38" s="1"/>
  <c r="E64" i="36" s="1"/>
  <c r="Q50" i="38"/>
  <c r="R50" i="38" s="1"/>
  <c r="E126" i="36" s="1"/>
  <c r="Q85" i="38"/>
  <c r="R85" i="38" s="1"/>
  <c r="E121" i="36" s="1"/>
  <c r="Q70" i="38"/>
  <c r="R70" i="38" s="1"/>
  <c r="E168" i="36" s="1"/>
  <c r="Q160" i="38"/>
  <c r="R160" i="38" s="1"/>
  <c r="E95" i="36" s="1"/>
  <c r="Q140" i="38"/>
  <c r="R140" i="38" s="1"/>
  <c r="E90" i="36" s="1"/>
  <c r="Q29" i="38"/>
  <c r="R29" i="38" s="1"/>
  <c r="E76" i="36" s="1"/>
  <c r="Q87" i="38"/>
  <c r="R87" i="38" s="1"/>
  <c r="E107" i="36" s="1"/>
  <c r="Q33" i="38"/>
  <c r="R33" i="38" s="1"/>
  <c r="E58" i="36" s="1"/>
  <c r="Q98" i="38"/>
  <c r="R98" i="38" s="1"/>
  <c r="E98" i="36" s="1"/>
  <c r="Q94" i="38"/>
  <c r="R94" i="38" s="1"/>
  <c r="E154" i="36" s="1"/>
  <c r="Q93" i="38"/>
  <c r="R93" i="38" s="1"/>
  <c r="E113" i="36" s="1"/>
  <c r="Q121" i="38"/>
  <c r="R121" i="38" s="1"/>
  <c r="E163" i="36" s="1"/>
  <c r="Q59" i="38"/>
  <c r="R59" i="38" s="1"/>
  <c r="E33" i="36" s="1"/>
  <c r="Q18" i="38"/>
  <c r="R18" i="38" s="1"/>
  <c r="E16" i="36" s="1"/>
  <c r="Q44" i="38"/>
  <c r="R44" i="38" s="1"/>
  <c r="E49" i="36" s="1"/>
  <c r="Q14" i="38"/>
  <c r="R14" i="38" s="1"/>
  <c r="E160" i="36" s="1"/>
  <c r="Q69" i="38"/>
  <c r="R69" i="38" s="1"/>
  <c r="E129" i="36" s="1"/>
  <c r="Q155" i="38"/>
  <c r="R155" i="38" s="1"/>
  <c r="E66" i="36" s="1"/>
  <c r="Q124" i="38"/>
  <c r="R124" i="38" s="1"/>
  <c r="E20" i="36" s="1"/>
  <c r="Q39" i="38"/>
  <c r="R39" i="38" s="1"/>
  <c r="E170" i="36" s="1"/>
  <c r="Q19" i="38"/>
  <c r="R19" i="38" s="1"/>
  <c r="E25" i="36" s="1"/>
  <c r="Q150" i="38"/>
  <c r="R150" i="38" s="1"/>
  <c r="E26" i="36" s="1"/>
  <c r="Q168" i="38"/>
  <c r="R168" i="38" s="1"/>
  <c r="E32" i="36" s="1"/>
  <c r="Q112" i="38"/>
  <c r="R112" i="38" s="1"/>
  <c r="E164" i="36" s="1"/>
  <c r="Q65" i="38"/>
  <c r="R65" i="38" s="1"/>
  <c r="E106" i="36" s="1"/>
  <c r="Q73" i="38"/>
  <c r="R73" i="38" s="1"/>
  <c r="E96" i="36" s="1"/>
  <c r="Q84" i="38"/>
  <c r="R84" i="38" s="1"/>
  <c r="E55" i="36" s="1"/>
  <c r="Q64" i="38"/>
  <c r="R64" i="38" s="1"/>
  <c r="E8" i="36" s="1"/>
  <c r="Q10" i="38"/>
  <c r="R10" i="38" s="1"/>
  <c r="E12" i="36" s="1"/>
  <c r="Q32" i="38"/>
  <c r="R32" i="38" s="1"/>
  <c r="E84" i="36" s="1"/>
  <c r="D159" i="43"/>
  <c r="Q13" i="38"/>
  <c r="R13" i="38" s="1"/>
  <c r="E85" i="36" s="1"/>
  <c r="Q143" i="38"/>
  <c r="R143" i="38" s="1"/>
  <c r="E48" i="36" s="1"/>
  <c r="Q15" i="38"/>
  <c r="R15" i="38" s="1"/>
  <c r="E53" i="36" s="1"/>
  <c r="Q21" i="38"/>
  <c r="R21" i="38" s="1"/>
  <c r="E140" i="36" s="1"/>
  <c r="Q127" i="38"/>
  <c r="R127" i="38" s="1"/>
  <c r="E93" i="36" s="1"/>
  <c r="Q96" i="38"/>
  <c r="R96" i="38" s="1"/>
  <c r="E157" i="36" s="1"/>
  <c r="D138" i="43"/>
  <c r="E143" i="43"/>
  <c r="D65" i="43"/>
  <c r="D32" i="43"/>
  <c r="K65" i="38"/>
  <c r="L65" i="38" s="1"/>
  <c r="D106" i="36" s="1"/>
  <c r="K24" i="38"/>
  <c r="L24" i="38" s="1"/>
  <c r="D92" i="36" s="1"/>
  <c r="K103" i="38"/>
  <c r="N103" i="38" s="1"/>
  <c r="D124" i="40" s="1"/>
  <c r="K152" i="38"/>
  <c r="L152" i="38" s="1"/>
  <c r="D19" i="36" s="1"/>
  <c r="K99" i="38"/>
  <c r="L99" i="38" s="1"/>
  <c r="D128" i="36" s="1"/>
  <c r="K160" i="38"/>
  <c r="L160" i="38" s="1"/>
  <c r="D95" i="36" s="1"/>
  <c r="K123" i="38"/>
  <c r="L123" i="38" s="1"/>
  <c r="D132" i="36" s="1"/>
  <c r="K154" i="38"/>
  <c r="L154" i="38" s="1"/>
  <c r="D21" i="36" s="1"/>
  <c r="K126" i="38"/>
  <c r="L126" i="38" s="1"/>
  <c r="D28" i="36" s="1"/>
  <c r="K162" i="38"/>
  <c r="L162" i="38" s="1"/>
  <c r="D149" i="36" s="1"/>
  <c r="K82" i="38"/>
  <c r="L82" i="38" s="1"/>
  <c r="D43" i="36" s="1"/>
  <c r="K141" i="38"/>
  <c r="N141" i="38" s="1"/>
  <c r="D13" i="40" s="1"/>
  <c r="K133" i="38"/>
  <c r="L133" i="38" s="1"/>
  <c r="D51" i="36" s="1"/>
  <c r="K131" i="38"/>
  <c r="L131" i="38" s="1"/>
  <c r="D123" i="36" s="1"/>
  <c r="K94" i="38"/>
  <c r="N94" i="38" s="1"/>
  <c r="D149" i="40" s="1"/>
  <c r="K70" i="38"/>
  <c r="N70" i="38" s="1"/>
  <c r="D161" i="40" s="1"/>
  <c r="K32" i="38"/>
  <c r="L32" i="38" s="1"/>
  <c r="D84" i="36" s="1"/>
  <c r="K111" i="38"/>
  <c r="L111" i="38" s="1"/>
  <c r="D146" i="36" s="1"/>
  <c r="C100" i="43"/>
  <c r="E74" i="38"/>
  <c r="C66" i="43"/>
  <c r="E52" i="38"/>
  <c r="C107" i="43"/>
  <c r="K84" i="38"/>
  <c r="K129" i="38"/>
  <c r="K121" i="38"/>
  <c r="K28" i="38"/>
  <c r="K79" i="38"/>
  <c r="K61" i="38"/>
  <c r="K22" i="38"/>
  <c r="K18" i="38"/>
  <c r="D98" i="43"/>
  <c r="D100" i="43"/>
  <c r="D66" i="43"/>
  <c r="D107" i="43"/>
  <c r="D47" i="43"/>
  <c r="E54" i="38"/>
  <c r="C47" i="43"/>
  <c r="K142" i="38"/>
  <c r="K44" i="38"/>
  <c r="K60" i="38"/>
  <c r="K68" i="38"/>
  <c r="K41" i="38"/>
  <c r="K49" i="38"/>
  <c r="K135" i="38"/>
  <c r="K20" i="38"/>
  <c r="K55" i="38"/>
  <c r="K112" i="38"/>
  <c r="E58" i="38"/>
  <c r="C60" i="43"/>
  <c r="C32" i="43"/>
  <c r="E16" i="38"/>
  <c r="N152" i="38"/>
  <c r="D27" i="40" s="1"/>
  <c r="L70" i="38"/>
  <c r="D168" i="36" s="1"/>
  <c r="S39" i="37"/>
  <c r="J39" i="38" s="1"/>
  <c r="I39" i="38"/>
  <c r="S37" i="37"/>
  <c r="J37" i="38" s="1"/>
  <c r="I37" i="38"/>
  <c r="S97" i="37"/>
  <c r="J97" i="38" s="1"/>
  <c r="I97" i="38"/>
  <c r="L6" i="37"/>
  <c r="S6" i="37" s="1"/>
  <c r="S150" i="37"/>
  <c r="J150" i="38" s="1"/>
  <c r="I150" i="38"/>
  <c r="K77" i="38"/>
  <c r="K86" i="38"/>
  <c r="K23" i="38"/>
  <c r="K62" i="38"/>
  <c r="K33" i="38"/>
  <c r="K168" i="38"/>
  <c r="K73" i="38"/>
  <c r="K122" i="38"/>
  <c r="K9" i="38"/>
  <c r="K120" i="38"/>
  <c r="K157" i="38"/>
  <c r="K136" i="38"/>
  <c r="K144" i="38"/>
  <c r="K89" i="38"/>
  <c r="K159" i="38"/>
  <c r="K78" i="38"/>
  <c r="K115" i="38"/>
  <c r="K85" i="38"/>
  <c r="K57" i="38"/>
  <c r="S72" i="37"/>
  <c r="J72" i="38" s="1"/>
  <c r="I72" i="38"/>
  <c r="K29" i="38"/>
  <c r="K17" i="38"/>
  <c r="K71" i="38"/>
  <c r="K81" i="38"/>
  <c r="K34" i="38"/>
  <c r="K15" i="38"/>
  <c r="K134" i="38"/>
  <c r="K161" i="38"/>
  <c r="K83" i="38"/>
  <c r="K169" i="38"/>
  <c r="K105" i="38"/>
  <c r="K148" i="38"/>
  <c r="K170" i="38"/>
  <c r="K140" i="38"/>
  <c r="K119" i="38"/>
  <c r="K30" i="38"/>
  <c r="K21" i="38"/>
  <c r="K155" i="38"/>
  <c r="K74" i="38"/>
  <c r="S48" i="37"/>
  <c r="J48" i="38" s="1"/>
  <c r="I48" i="38"/>
  <c r="S164" i="37"/>
  <c r="J164" i="38" s="1"/>
  <c r="I164" i="38"/>
  <c r="S45" i="37"/>
  <c r="J45" i="38" s="1"/>
  <c r="I45" i="38"/>
  <c r="K46" i="38"/>
  <c r="K156" i="38"/>
  <c r="K137" i="38"/>
  <c r="K80" i="38"/>
  <c r="K118" i="38"/>
  <c r="K138" i="38"/>
  <c r="K165" i="38"/>
  <c r="K146" i="38"/>
  <c r="K90" i="38"/>
  <c r="K139" i="38"/>
  <c r="K101" i="38"/>
  <c r="K27" i="38"/>
  <c r="K88" i="38"/>
  <c r="K35" i="38"/>
  <c r="K67" i="38"/>
  <c r="K167" i="38"/>
  <c r="K43" i="38"/>
  <c r="K52" i="38"/>
  <c r="K128" i="38"/>
  <c r="K147" i="38"/>
  <c r="K64" i="38"/>
  <c r="K153" i="38"/>
  <c r="K117" i="38"/>
  <c r="K125" i="38"/>
  <c r="K114" i="38"/>
  <c r="K50" i="38"/>
  <c r="S116" i="37"/>
  <c r="J116" i="38" s="1"/>
  <c r="I116" i="38"/>
  <c r="J8" i="38"/>
  <c r="K8" i="38" s="1"/>
  <c r="K102" i="38"/>
  <c r="K149" i="38"/>
  <c r="K110" i="38"/>
  <c r="K151" i="38"/>
  <c r="K166" i="38"/>
  <c r="K100" i="38"/>
  <c r="K158" i="38"/>
  <c r="K108" i="38"/>
  <c r="K10" i="38"/>
  <c r="K163" i="38"/>
  <c r="K19" i="38"/>
  <c r="K59" i="38"/>
  <c r="K56" i="38"/>
  <c r="K58" i="38"/>
  <c r="K14" i="38"/>
  <c r="K66" i="38"/>
  <c r="K69" i="38"/>
  <c r="K51" i="38"/>
  <c r="K36" i="38"/>
  <c r="K13" i="38"/>
  <c r="K87" i="38"/>
  <c r="K106" i="38"/>
  <c r="K11" i="38"/>
  <c r="R21" i="37"/>
  <c r="D21" i="38" s="1"/>
  <c r="D141" i="43" s="1"/>
  <c r="C21" i="38"/>
  <c r="C141" i="43" s="1"/>
  <c r="R23" i="37"/>
  <c r="D23" i="38" s="1"/>
  <c r="C23" i="38"/>
  <c r="C133" i="43" s="1"/>
  <c r="R65" i="37"/>
  <c r="D65" i="38" s="1"/>
  <c r="D114" i="43" s="1"/>
  <c r="C65" i="38"/>
  <c r="C114" i="43" s="1"/>
  <c r="R29" i="37"/>
  <c r="D29" i="38" s="1"/>
  <c r="D75" i="43" s="1"/>
  <c r="C29" i="38"/>
  <c r="C75" i="43" s="1"/>
  <c r="R19" i="37"/>
  <c r="D19" i="38" s="1"/>
  <c r="D25" i="43" s="1"/>
  <c r="C19" i="38"/>
  <c r="C25" i="43" s="1"/>
  <c r="R62" i="37"/>
  <c r="D62" i="38" s="1"/>
  <c r="D16" i="43" s="1"/>
  <c r="C62" i="38"/>
  <c r="C16" i="43" s="1"/>
  <c r="R147" i="37"/>
  <c r="D147" i="38" s="1"/>
  <c r="D70" i="43" s="1"/>
  <c r="C147" i="38"/>
  <c r="C70" i="43" s="1"/>
  <c r="R53" i="37"/>
  <c r="D53" i="38" s="1"/>
  <c r="C53" i="38"/>
  <c r="C140" i="43" s="1"/>
  <c r="R107" i="37"/>
  <c r="D107" i="38" s="1"/>
  <c r="D80" i="43" s="1"/>
  <c r="C107" i="38"/>
  <c r="R94" i="37"/>
  <c r="D94" i="38" s="1"/>
  <c r="D152" i="43" s="1"/>
  <c r="C94" i="38"/>
  <c r="C152" i="43" s="1"/>
  <c r="R60" i="37"/>
  <c r="D60" i="38" s="1"/>
  <c r="D117" i="43" s="1"/>
  <c r="C60" i="38"/>
  <c r="C117" i="43" s="1"/>
  <c r="R137" i="37"/>
  <c r="D137" i="38" s="1"/>
  <c r="D53" i="43" s="1"/>
  <c r="C137" i="38"/>
  <c r="C53" i="43" s="1"/>
  <c r="R73" i="37"/>
  <c r="D73" i="38" s="1"/>
  <c r="D95" i="43" s="1"/>
  <c r="C73" i="38"/>
  <c r="C95" i="43" s="1"/>
  <c r="R75" i="37"/>
  <c r="D75" i="38" s="1"/>
  <c r="D112" i="43" s="1"/>
  <c r="C75" i="38"/>
  <c r="C112" i="43" s="1"/>
  <c r="R140" i="37"/>
  <c r="D140" i="38" s="1"/>
  <c r="D87" i="43" s="1"/>
  <c r="C140" i="38"/>
  <c r="C87" i="43" s="1"/>
  <c r="R101" i="37"/>
  <c r="D101" i="38" s="1"/>
  <c r="D165" i="43" s="1"/>
  <c r="C101" i="38"/>
  <c r="C165" i="43" s="1"/>
  <c r="R56" i="37"/>
  <c r="D56" i="38" s="1"/>
  <c r="D59" i="43" s="1"/>
  <c r="C56" i="38"/>
  <c r="R61" i="37"/>
  <c r="D61" i="38" s="1"/>
  <c r="D136" i="43" s="1"/>
  <c r="C61" i="38"/>
  <c r="C136" i="43" s="1"/>
  <c r="R98" i="37"/>
  <c r="D98" i="38" s="1"/>
  <c r="D101" i="43" s="1"/>
  <c r="C98" i="38"/>
  <c r="R49" i="37"/>
  <c r="D49" i="38" s="1"/>
  <c r="C49" i="38"/>
  <c r="C42" i="43" s="1"/>
  <c r="R118" i="37"/>
  <c r="D118" i="38" s="1"/>
  <c r="D54" i="43" s="1"/>
  <c r="C118" i="38"/>
  <c r="C54" i="43" s="1"/>
  <c r="R165" i="37"/>
  <c r="D165" i="38" s="1"/>
  <c r="D145" i="43" s="1"/>
  <c r="C165" i="38"/>
  <c r="C145" i="43" s="1"/>
  <c r="R36" i="37"/>
  <c r="D36" i="38" s="1"/>
  <c r="D9" i="43" s="1"/>
  <c r="C36" i="38"/>
  <c r="R157" i="37"/>
  <c r="D157" i="38" s="1"/>
  <c r="D91" i="43" s="1"/>
  <c r="C157" i="38"/>
  <c r="C91" i="43" s="1"/>
  <c r="R17" i="37"/>
  <c r="D17" i="38" s="1"/>
  <c r="D126" i="43" s="1"/>
  <c r="C17" i="38"/>
  <c r="R13" i="37"/>
  <c r="D13" i="38" s="1"/>
  <c r="D84" i="43" s="1"/>
  <c r="C13" i="38"/>
  <c r="C84" i="43" s="1"/>
  <c r="R93" i="37"/>
  <c r="D93" i="38" s="1"/>
  <c r="D108" i="43" s="1"/>
  <c r="C93" i="38"/>
  <c r="R12" i="37"/>
  <c r="D12" i="38" s="1"/>
  <c r="D23" i="43" s="1"/>
  <c r="C12" i="38"/>
  <c r="R151" i="37"/>
  <c r="D151" i="38" s="1"/>
  <c r="D10" i="43" s="1"/>
  <c r="C151" i="38"/>
  <c r="C10" i="43" s="1"/>
  <c r="R161" i="37"/>
  <c r="D161" i="38" s="1"/>
  <c r="D154" i="43" s="1"/>
  <c r="C161" i="38"/>
  <c r="C154" i="43" s="1"/>
  <c r="R28" i="37"/>
  <c r="D28" i="38" s="1"/>
  <c r="C28" i="38"/>
  <c r="C36" i="43" s="1"/>
  <c r="R127" i="37"/>
  <c r="D127" i="38" s="1"/>
  <c r="D89" i="43" s="1"/>
  <c r="C127" i="38"/>
  <c r="C89" i="43" s="1"/>
  <c r="R154" i="37"/>
  <c r="D154" i="38" s="1"/>
  <c r="D21" i="43" s="1"/>
  <c r="C154" i="38"/>
  <c r="C21" i="43" s="1"/>
  <c r="R162" i="37"/>
  <c r="D162" i="38" s="1"/>
  <c r="D151" i="43" s="1"/>
  <c r="C162" i="38"/>
  <c r="C151" i="43" s="1"/>
  <c r="R104" i="37"/>
  <c r="D104" i="38" s="1"/>
  <c r="D79" i="43" s="1"/>
  <c r="C104" i="38"/>
  <c r="R11" i="37"/>
  <c r="D11" i="38" s="1"/>
  <c r="D63" i="43" s="1"/>
  <c r="C11" i="38"/>
  <c r="C63" i="43" s="1"/>
  <c r="R160" i="37"/>
  <c r="D160" i="38" s="1"/>
  <c r="D93" i="43" s="1"/>
  <c r="C160" i="38"/>
  <c r="C93" i="43" s="1"/>
  <c r="R108" i="37"/>
  <c r="D108" i="38" s="1"/>
  <c r="D156" i="43" s="1"/>
  <c r="C108" i="38"/>
  <c r="C156" i="43" s="1"/>
  <c r="F58" i="38"/>
  <c r="R37" i="37"/>
  <c r="D37" i="38" s="1"/>
  <c r="C37" i="38"/>
  <c r="R166" i="37"/>
  <c r="D166" i="38" s="1"/>
  <c r="D128" i="43" s="1"/>
  <c r="C166" i="38"/>
  <c r="C128" i="43" s="1"/>
  <c r="R77" i="37"/>
  <c r="D77" i="38" s="1"/>
  <c r="D61" i="43" s="1"/>
  <c r="C77" i="38"/>
  <c r="C61" i="43" s="1"/>
  <c r="R70" i="37"/>
  <c r="D70" i="38" s="1"/>
  <c r="D168" i="43" s="1"/>
  <c r="C70" i="38"/>
  <c r="R170" i="37"/>
  <c r="D170" i="38" s="1"/>
  <c r="D121" i="43" s="1"/>
  <c r="C170" i="38"/>
  <c r="C121" i="43" s="1"/>
  <c r="R79" i="37"/>
  <c r="D79" i="38" s="1"/>
  <c r="D160" i="43" s="1"/>
  <c r="C79" i="38"/>
  <c r="C160" i="43" s="1"/>
  <c r="R121" i="37"/>
  <c r="D121" i="38" s="1"/>
  <c r="D163" i="43" s="1"/>
  <c r="C121" i="38"/>
  <c r="C163" i="43" s="1"/>
  <c r="R88" i="37"/>
  <c r="D88" i="38" s="1"/>
  <c r="D31" i="43" s="1"/>
  <c r="C88" i="38"/>
  <c r="R25" i="37"/>
  <c r="D25" i="38" s="1"/>
  <c r="D142" i="43" s="1"/>
  <c r="C25" i="38"/>
  <c r="R34" i="37"/>
  <c r="D34" i="38" s="1"/>
  <c r="D13" i="43" s="1"/>
  <c r="C34" i="38"/>
  <c r="R78" i="37"/>
  <c r="D78" i="38" s="1"/>
  <c r="D106" i="43" s="1"/>
  <c r="C78" i="38"/>
  <c r="C106" i="43" s="1"/>
  <c r="R33" i="37"/>
  <c r="D33" i="38" s="1"/>
  <c r="D58" i="43" s="1"/>
  <c r="C33" i="38"/>
  <c r="C58" i="43" s="1"/>
  <c r="R134" i="37"/>
  <c r="D134" i="38" s="1"/>
  <c r="D57" i="43" s="1"/>
  <c r="C134" i="38"/>
  <c r="C57" i="43" s="1"/>
  <c r="R103" i="37"/>
  <c r="D103" i="38" s="1"/>
  <c r="D119" i="43" s="1"/>
  <c r="C103" i="38"/>
  <c r="C119" i="43" s="1"/>
  <c r="R89" i="37"/>
  <c r="D89" i="38" s="1"/>
  <c r="D116" i="43" s="1"/>
  <c r="C89" i="38"/>
  <c r="C116" i="43" s="1"/>
  <c r="R109" i="37"/>
  <c r="D109" i="38" s="1"/>
  <c r="D73" i="43" s="1"/>
  <c r="C109" i="38"/>
  <c r="C73" i="43" s="1"/>
  <c r="R132" i="37"/>
  <c r="D132" i="38" s="1"/>
  <c r="D166" i="43" s="1"/>
  <c r="C132" i="38"/>
  <c r="C8" i="38"/>
  <c r="C28" i="43" s="1"/>
  <c r="R8" i="37"/>
  <c r="J6" i="37"/>
  <c r="R10" i="37"/>
  <c r="D10" i="38" s="1"/>
  <c r="D12" i="43" s="1"/>
  <c r="C10" i="38"/>
  <c r="C12" i="43" s="1"/>
  <c r="R156" i="37"/>
  <c r="D156" i="38" s="1"/>
  <c r="D96" i="43" s="1"/>
  <c r="C156" i="38"/>
  <c r="C96" i="43" s="1"/>
  <c r="R152" i="37"/>
  <c r="D152" i="38" s="1"/>
  <c r="C152" i="38"/>
  <c r="C17" i="43" s="1"/>
  <c r="R169" i="37"/>
  <c r="D169" i="38" s="1"/>
  <c r="D135" i="43" s="1"/>
  <c r="C169" i="38"/>
  <c r="C135" i="43" s="1"/>
  <c r="R44" i="37"/>
  <c r="D44" i="38" s="1"/>
  <c r="C44" i="38"/>
  <c r="C50" i="43" s="1"/>
  <c r="R144" i="37"/>
  <c r="D144" i="38" s="1"/>
  <c r="D34" i="43" s="1"/>
  <c r="C144" i="38"/>
  <c r="C34" i="43" s="1"/>
  <c r="R92" i="37"/>
  <c r="D92" i="38" s="1"/>
  <c r="C92" i="38"/>
  <c r="R86" i="37"/>
  <c r="D86" i="38" s="1"/>
  <c r="D118" i="43" s="1"/>
  <c r="C86" i="38"/>
  <c r="R90" i="37"/>
  <c r="D90" i="38" s="1"/>
  <c r="D85" i="43" s="1"/>
  <c r="C90" i="38"/>
  <c r="C85" i="43" s="1"/>
  <c r="R69" i="37"/>
  <c r="D69" i="38" s="1"/>
  <c r="D124" i="43" s="1"/>
  <c r="C69" i="38"/>
  <c r="C124" i="43" s="1"/>
  <c r="R129" i="37"/>
  <c r="D129" i="38" s="1"/>
  <c r="C129" i="38"/>
  <c r="C130" i="43" s="1"/>
  <c r="R105" i="37"/>
  <c r="D105" i="38" s="1"/>
  <c r="D64" i="43" s="1"/>
  <c r="C105" i="38"/>
  <c r="C64" i="43" s="1"/>
  <c r="R22" i="37"/>
  <c r="D22" i="38" s="1"/>
  <c r="C22" i="38"/>
  <c r="C86" i="43" s="1"/>
  <c r="R158" i="37"/>
  <c r="D158" i="38" s="1"/>
  <c r="D72" i="43" s="1"/>
  <c r="C158" i="38"/>
  <c r="C72" i="43" s="1"/>
  <c r="R57" i="37"/>
  <c r="D57" i="38" s="1"/>
  <c r="C57" i="38"/>
  <c r="C29" i="43" s="1"/>
  <c r="R142" i="37"/>
  <c r="D142" i="38" s="1"/>
  <c r="D83" i="43" s="1"/>
  <c r="C142" i="38"/>
  <c r="C83" i="43" s="1"/>
  <c r="R87" i="37"/>
  <c r="D87" i="38" s="1"/>
  <c r="C87" i="38"/>
  <c r="C104" i="43" s="1"/>
  <c r="R38" i="37"/>
  <c r="D38" i="38" s="1"/>
  <c r="D113" i="43" s="1"/>
  <c r="C38" i="38"/>
  <c r="R114" i="37"/>
  <c r="D114" i="38" s="1"/>
  <c r="C114" i="38"/>
  <c r="C123" i="43" s="1"/>
  <c r="R126" i="37"/>
  <c r="D126" i="38" s="1"/>
  <c r="D27" i="43" s="1"/>
  <c r="C126" i="38"/>
  <c r="C27" i="43" s="1"/>
  <c r="E81" i="38"/>
  <c r="E139" i="38"/>
  <c r="E138" i="38"/>
  <c r="R95" i="37"/>
  <c r="D95" i="38" s="1"/>
  <c r="D52" i="43" s="1"/>
  <c r="C95" i="38"/>
  <c r="C52" i="43" s="1"/>
  <c r="R110" i="37"/>
  <c r="D110" i="38" s="1"/>
  <c r="D43" i="43" s="1"/>
  <c r="C110" i="38"/>
  <c r="C43" i="43" s="1"/>
  <c r="R111" i="37"/>
  <c r="D111" i="38" s="1"/>
  <c r="D146" i="43" s="1"/>
  <c r="C111" i="38"/>
  <c r="C146" i="43" s="1"/>
  <c r="R72" i="37"/>
  <c r="D72" i="38" s="1"/>
  <c r="C72" i="38"/>
  <c r="R59" i="37"/>
  <c r="D59" i="38" s="1"/>
  <c r="D33" i="43" s="1"/>
  <c r="C59" i="38"/>
  <c r="C33" i="43" s="1"/>
  <c r="R135" i="37"/>
  <c r="D135" i="38" s="1"/>
  <c r="D148" i="43" s="1"/>
  <c r="C135" i="38"/>
  <c r="C148" i="43" s="1"/>
  <c r="R68" i="37"/>
  <c r="D68" i="38" s="1"/>
  <c r="D35" i="43" s="1"/>
  <c r="C68" i="38"/>
  <c r="R91" i="37"/>
  <c r="D91" i="38" s="1"/>
  <c r="D48" i="43" s="1"/>
  <c r="C91" i="38"/>
  <c r="R39" i="37"/>
  <c r="D39" i="38" s="1"/>
  <c r="C39" i="38"/>
  <c r="R63" i="37"/>
  <c r="D63" i="38" s="1"/>
  <c r="D38" i="43" s="1"/>
  <c r="C63" i="38"/>
  <c r="R102" i="37"/>
  <c r="D102" i="38" s="1"/>
  <c r="D78" i="43" s="1"/>
  <c r="C102" i="38"/>
  <c r="R164" i="37"/>
  <c r="D164" i="38" s="1"/>
  <c r="C164" i="38"/>
  <c r="R27" i="37"/>
  <c r="D27" i="38" s="1"/>
  <c r="D11" i="43" s="1"/>
  <c r="C27" i="38"/>
  <c r="C11" i="43" s="1"/>
  <c r="R76" i="37"/>
  <c r="D76" i="38" s="1"/>
  <c r="D150" i="43" s="1"/>
  <c r="C76" i="38"/>
  <c r="R67" i="37"/>
  <c r="D67" i="38" s="1"/>
  <c r="D97" i="43" s="1"/>
  <c r="C67" i="38"/>
  <c r="C97" i="43" s="1"/>
  <c r="R123" i="37"/>
  <c r="D123" i="38" s="1"/>
  <c r="D127" i="43" s="1"/>
  <c r="C123" i="38"/>
  <c r="C127" i="43" s="1"/>
  <c r="R80" i="37"/>
  <c r="D80" i="38" s="1"/>
  <c r="D19" i="43" s="1"/>
  <c r="C80" i="38"/>
  <c r="C19" i="43" s="1"/>
  <c r="R9" i="37"/>
  <c r="D9" i="38" s="1"/>
  <c r="D82" i="43" s="1"/>
  <c r="C9" i="38"/>
  <c r="C82" i="43" s="1"/>
  <c r="R64" i="37"/>
  <c r="D64" i="38" s="1"/>
  <c r="D8" i="43" s="1"/>
  <c r="C64" i="38"/>
  <c r="C8" i="43" s="1"/>
  <c r="R26" i="37"/>
  <c r="D26" i="38" s="1"/>
  <c r="D170" i="43" s="1"/>
  <c r="C26" i="38"/>
  <c r="R141" i="37"/>
  <c r="D141" i="38" s="1"/>
  <c r="D41" i="43" s="1"/>
  <c r="C141" i="38"/>
  <c r="C41" i="43" s="1"/>
  <c r="R97" i="37"/>
  <c r="D97" i="38" s="1"/>
  <c r="C97" i="38"/>
  <c r="R30" i="37"/>
  <c r="D30" i="38" s="1"/>
  <c r="D167" i="43" s="1"/>
  <c r="C30" i="38"/>
  <c r="R82" i="37"/>
  <c r="D82" i="38" s="1"/>
  <c r="D39" i="43" s="1"/>
  <c r="C82" i="38"/>
  <c r="C39" i="43" s="1"/>
  <c r="R84" i="37"/>
  <c r="D84" i="38" s="1"/>
  <c r="D55" i="43" s="1"/>
  <c r="C84" i="38"/>
  <c r="R14" i="37"/>
  <c r="D14" i="38" s="1"/>
  <c r="D161" i="43" s="1"/>
  <c r="C14" i="38"/>
  <c r="R66" i="37"/>
  <c r="D66" i="38" s="1"/>
  <c r="D40" i="43" s="1"/>
  <c r="C66" i="38"/>
  <c r="C40" i="43" s="1"/>
  <c r="R15" i="37"/>
  <c r="D15" i="38" s="1"/>
  <c r="D56" i="43" s="1"/>
  <c r="C15" i="38"/>
  <c r="C56" i="43" s="1"/>
  <c r="R100" i="37"/>
  <c r="D100" i="38" s="1"/>
  <c r="D115" i="43" s="1"/>
  <c r="C100" i="38"/>
  <c r="R125" i="37"/>
  <c r="D125" i="38" s="1"/>
  <c r="D71" i="43" s="1"/>
  <c r="C125" i="38"/>
  <c r="C71" i="43" s="1"/>
  <c r="R128" i="37"/>
  <c r="D128" i="38" s="1"/>
  <c r="D157" i="43" s="1"/>
  <c r="C128" i="38"/>
  <c r="C157" i="43" s="1"/>
  <c r="R155" i="37"/>
  <c r="D155" i="38" s="1"/>
  <c r="D62" i="43" s="1"/>
  <c r="C155" i="38"/>
  <c r="C62" i="43" s="1"/>
  <c r="R24" i="37"/>
  <c r="D24" i="38" s="1"/>
  <c r="D94" i="43" s="1"/>
  <c r="C24" i="38"/>
  <c r="R167" i="37"/>
  <c r="D167" i="38" s="1"/>
  <c r="D129" i="43" s="1"/>
  <c r="C167" i="38"/>
  <c r="C129" i="43" s="1"/>
  <c r="R159" i="37"/>
  <c r="D159" i="38" s="1"/>
  <c r="D26" i="43" s="1"/>
  <c r="C159" i="38"/>
  <c r="C26" i="43" s="1"/>
  <c r="R117" i="37"/>
  <c r="D117" i="38" s="1"/>
  <c r="D137" i="43" s="1"/>
  <c r="C117" i="38"/>
  <c r="C137" i="43" s="1"/>
  <c r="R153" i="37"/>
  <c r="D153" i="38" s="1"/>
  <c r="D22" i="43" s="1"/>
  <c r="C153" i="38"/>
  <c r="C22" i="43" s="1"/>
  <c r="F74" i="38"/>
  <c r="R115" i="37"/>
  <c r="D115" i="38" s="1"/>
  <c r="D109" i="43" s="1"/>
  <c r="C115" i="38"/>
  <c r="C109" i="43" s="1"/>
  <c r="R50" i="37"/>
  <c r="D50" i="38" s="1"/>
  <c r="D125" i="43" s="1"/>
  <c r="C50" i="38"/>
  <c r="C125" i="43" s="1"/>
  <c r="R131" i="37"/>
  <c r="D131" i="38" s="1"/>
  <c r="D120" i="43" s="1"/>
  <c r="C131" i="38"/>
  <c r="C120" i="43" s="1"/>
  <c r="R116" i="37"/>
  <c r="D116" i="38" s="1"/>
  <c r="C116" i="38"/>
  <c r="R32" i="37"/>
  <c r="D32" i="38" s="1"/>
  <c r="D88" i="43" s="1"/>
  <c r="C32" i="38"/>
  <c r="R146" i="37"/>
  <c r="D146" i="38" s="1"/>
  <c r="D68" i="43" s="1"/>
  <c r="C146" i="38"/>
  <c r="C68" i="43" s="1"/>
  <c r="R120" i="37"/>
  <c r="D120" i="38" s="1"/>
  <c r="D15" i="43" s="1"/>
  <c r="C120" i="38"/>
  <c r="C15" i="43" s="1"/>
  <c r="R99" i="37"/>
  <c r="D99" i="38" s="1"/>
  <c r="D132" i="43" s="1"/>
  <c r="C99" i="38"/>
  <c r="C132" i="43" s="1"/>
  <c r="R150" i="37"/>
  <c r="D150" i="38" s="1"/>
  <c r="C150" i="38"/>
  <c r="R48" i="37"/>
  <c r="D48" i="38" s="1"/>
  <c r="C48" i="38"/>
  <c r="R31" i="37"/>
  <c r="D31" i="38" s="1"/>
  <c r="D67" i="43" s="1"/>
  <c r="C31" i="38"/>
  <c r="R42" i="37"/>
  <c r="D42" i="38" s="1"/>
  <c r="D162" i="43" s="1"/>
  <c r="C42" i="38"/>
  <c r="C162" i="43" s="1"/>
  <c r="R47" i="37"/>
  <c r="D47" i="38" s="1"/>
  <c r="D44" i="43" s="1"/>
  <c r="C47" i="38"/>
  <c r="R83" i="37"/>
  <c r="D83" i="38" s="1"/>
  <c r="D81" i="43" s="1"/>
  <c r="C83" i="38"/>
  <c r="C81" i="43" s="1"/>
  <c r="R85" i="37"/>
  <c r="D85" i="38" s="1"/>
  <c r="D122" i="43" s="1"/>
  <c r="C85" i="38"/>
  <c r="C122" i="43" s="1"/>
  <c r="R45" i="37"/>
  <c r="D45" i="38" s="1"/>
  <c r="C45" i="38"/>
  <c r="R18" i="37"/>
  <c r="D18" i="38" s="1"/>
  <c r="D20" i="43" s="1"/>
  <c r="C18" i="38"/>
  <c r="C20" i="43" s="1"/>
  <c r="R136" i="37"/>
  <c r="D136" i="38" s="1"/>
  <c r="D69" i="43" s="1"/>
  <c r="C136" i="38"/>
  <c r="C69" i="43" s="1"/>
  <c r="R106" i="37"/>
  <c r="D106" i="38" s="1"/>
  <c r="D110" i="43" s="1"/>
  <c r="C106" i="38"/>
  <c r="C110" i="43" s="1"/>
  <c r="R71" i="37"/>
  <c r="D71" i="38" s="1"/>
  <c r="D99" i="43" s="1"/>
  <c r="C71" i="38"/>
  <c r="C99" i="43" s="1"/>
  <c r="R133" i="37"/>
  <c r="D133" i="38" s="1"/>
  <c r="D51" i="43" s="1"/>
  <c r="C133" i="38"/>
  <c r="C51" i="43" s="1"/>
  <c r="R143" i="37"/>
  <c r="D143" i="38" s="1"/>
  <c r="D45" i="43" s="1"/>
  <c r="C143" i="38"/>
  <c r="R168" i="37"/>
  <c r="D168" i="38" s="1"/>
  <c r="D37" i="43" s="1"/>
  <c r="C168" i="38"/>
  <c r="C37" i="43" s="1"/>
  <c r="R145" i="37"/>
  <c r="D145" i="38" s="1"/>
  <c r="D49" i="43" s="1"/>
  <c r="C145" i="38"/>
  <c r="C49" i="43" s="1"/>
  <c r="R130" i="37"/>
  <c r="D130" i="38" s="1"/>
  <c r="D14" i="43" s="1"/>
  <c r="C130" i="38"/>
  <c r="R43" i="37"/>
  <c r="D43" i="38" s="1"/>
  <c r="D74" i="43" s="1"/>
  <c r="C43" i="38"/>
  <c r="C74" i="43" s="1"/>
  <c r="R148" i="37"/>
  <c r="D148" i="38" s="1"/>
  <c r="D46" i="43" s="1"/>
  <c r="C148" i="38"/>
  <c r="C46" i="43" s="1"/>
  <c r="R46" i="37"/>
  <c r="D46" i="38" s="1"/>
  <c r="D131" i="43" s="1"/>
  <c r="C46" i="38"/>
  <c r="R149" i="37"/>
  <c r="D149" i="38" s="1"/>
  <c r="D149" i="43" s="1"/>
  <c r="C149" i="38"/>
  <c r="C149" i="43" s="1"/>
  <c r="R20" i="37"/>
  <c r="D20" i="38" s="1"/>
  <c r="D103" i="43" s="1"/>
  <c r="C20" i="38"/>
  <c r="C103" i="43" s="1"/>
  <c r="R163" i="37"/>
  <c r="D163" i="38" s="1"/>
  <c r="D147" i="43" s="1"/>
  <c r="C163" i="38"/>
  <c r="C147" i="43" s="1"/>
  <c r="R35" i="37"/>
  <c r="D35" i="38" s="1"/>
  <c r="D30" i="43" s="1"/>
  <c r="C35" i="38"/>
  <c r="C30" i="43" s="1"/>
  <c r="R119" i="37"/>
  <c r="D119" i="38" s="1"/>
  <c r="D111" i="43" s="1"/>
  <c r="C119" i="38"/>
  <c r="C111" i="43" s="1"/>
  <c r="R112" i="37"/>
  <c r="D112" i="38" s="1"/>
  <c r="D164" i="43" s="1"/>
  <c r="C112" i="38"/>
  <c r="C164" i="43" s="1"/>
  <c r="R51" i="37"/>
  <c r="D51" i="38" s="1"/>
  <c r="D139" i="43" s="1"/>
  <c r="C51" i="38"/>
  <c r="C139" i="43" s="1"/>
  <c r="R96" i="37"/>
  <c r="D96" i="38" s="1"/>
  <c r="C96" i="38"/>
  <c r="C158" i="43" s="1"/>
  <c r="R113" i="37"/>
  <c r="D113" i="38" s="1"/>
  <c r="D102" i="43" s="1"/>
  <c r="C113" i="38"/>
  <c r="E41" i="38"/>
  <c r="F100" i="43" s="1"/>
  <c r="E124" i="38"/>
  <c r="E55" i="38"/>
  <c r="E122" i="38"/>
  <c r="I70" i="26"/>
  <c r="N42" i="38" l="1"/>
  <c r="D165" i="40" s="1"/>
  <c r="L42" i="38"/>
  <c r="D162" i="36" s="1"/>
  <c r="C166" i="43"/>
  <c r="E166" i="43" s="1"/>
  <c r="D133" i="43"/>
  <c r="E133" i="43" s="1"/>
  <c r="K124" i="38"/>
  <c r="L94" i="38"/>
  <c r="D154" i="36" s="1"/>
  <c r="C102" i="43"/>
  <c r="E102" i="43" s="1"/>
  <c r="L141" i="38"/>
  <c r="D44" i="36" s="1"/>
  <c r="D158" i="43"/>
  <c r="D42" i="43"/>
  <c r="E100" i="43"/>
  <c r="F47" i="43"/>
  <c r="C170" i="43"/>
  <c r="C150" i="43"/>
  <c r="D36" i="43"/>
  <c r="E36" i="43" s="1"/>
  <c r="K40" i="38"/>
  <c r="N40" i="38" s="1"/>
  <c r="D61" i="40" s="1"/>
  <c r="N82" i="38"/>
  <c r="D38" i="40" s="1"/>
  <c r="N109" i="38"/>
  <c r="D101" i="40" s="1"/>
  <c r="L109" i="38"/>
  <c r="D74" i="36" s="1"/>
  <c r="C45" i="43"/>
  <c r="E45" i="43" s="1"/>
  <c r="C142" i="43"/>
  <c r="D140" i="43"/>
  <c r="E140" i="43" s="1"/>
  <c r="K54" i="38"/>
  <c r="N54" i="38" s="1"/>
  <c r="D143" i="40" s="1"/>
  <c r="N131" i="38"/>
  <c r="D127" i="40" s="1"/>
  <c r="N24" i="38"/>
  <c r="D135" i="40" s="1"/>
  <c r="F66" i="43"/>
  <c r="F18" i="43"/>
  <c r="D92" i="43"/>
  <c r="F77" i="43"/>
  <c r="C155" i="43"/>
  <c r="C159" i="43"/>
  <c r="C108" i="43"/>
  <c r="E108" i="43" s="1"/>
  <c r="C126" i="43"/>
  <c r="C101" i="43"/>
  <c r="E101" i="43" s="1"/>
  <c r="C80" i="43"/>
  <c r="E80" i="43" s="1"/>
  <c r="N111" i="38"/>
  <c r="D154" i="40" s="1"/>
  <c r="E138" i="43"/>
  <c r="S171" i="37"/>
  <c r="F138" i="43"/>
  <c r="C14" i="43"/>
  <c r="E14" i="43" s="1"/>
  <c r="C44" i="43"/>
  <c r="E44" i="43" s="1"/>
  <c r="C67" i="43"/>
  <c r="R6" i="37"/>
  <c r="G6" i="36"/>
  <c r="N154" i="38"/>
  <c r="D87" i="40" s="1"/>
  <c r="E159" i="43"/>
  <c r="E60" i="43"/>
  <c r="F107" i="43"/>
  <c r="C169" i="43"/>
  <c r="F32" i="43"/>
  <c r="C38" i="43"/>
  <c r="E38" i="43" s="1"/>
  <c r="C48" i="43"/>
  <c r="E48" i="43" s="1"/>
  <c r="F143" i="43"/>
  <c r="R171" i="37"/>
  <c r="F159" i="43"/>
  <c r="F60" i="43"/>
  <c r="E32" i="43"/>
  <c r="E65" i="43"/>
  <c r="H40" i="38"/>
  <c r="C61" i="40" s="1"/>
  <c r="K48" i="38"/>
  <c r="L48" i="38" s="1"/>
  <c r="D144" i="36" s="1"/>
  <c r="K150" i="38"/>
  <c r="L150" i="38" s="1"/>
  <c r="D26" i="36" s="1"/>
  <c r="C24" i="43"/>
  <c r="D169" i="43"/>
  <c r="D105" i="43"/>
  <c r="F40" i="38"/>
  <c r="C64" i="36" s="1"/>
  <c r="N123" i="38"/>
  <c r="D107" i="40" s="1"/>
  <c r="F52" i="38"/>
  <c r="C104" i="36" s="1"/>
  <c r="D24" i="43"/>
  <c r="N160" i="38"/>
  <c r="D97" i="40" s="1"/>
  <c r="L103" i="38"/>
  <c r="D117" i="36" s="1"/>
  <c r="H74" i="38"/>
  <c r="C56" i="40" s="1"/>
  <c r="N162" i="38"/>
  <c r="D121" i="40" s="1"/>
  <c r="F16" i="38"/>
  <c r="C161" i="36" s="1"/>
  <c r="H58" i="38"/>
  <c r="C51" i="40" s="1"/>
  <c r="F54" i="38"/>
  <c r="C100" i="36" s="1"/>
  <c r="E46" i="43"/>
  <c r="E37" i="43"/>
  <c r="E51" i="43"/>
  <c r="E110" i="43"/>
  <c r="E20" i="43"/>
  <c r="E122" i="43"/>
  <c r="E15" i="43"/>
  <c r="E149" i="43"/>
  <c r="E30" i="43"/>
  <c r="E74" i="43"/>
  <c r="E99" i="43"/>
  <c r="E81" i="43"/>
  <c r="E132" i="43"/>
  <c r="C76" i="43"/>
  <c r="E156" i="43"/>
  <c r="E91" i="43"/>
  <c r="E145" i="43"/>
  <c r="E136" i="43"/>
  <c r="E152" i="43"/>
  <c r="E16" i="43"/>
  <c r="H54" i="38"/>
  <c r="C143" i="40" s="1"/>
  <c r="E10" i="43"/>
  <c r="E70" i="43"/>
  <c r="E25" i="43"/>
  <c r="N32" i="38"/>
  <c r="D110" i="40" s="1"/>
  <c r="N133" i="38"/>
  <c r="D89" i="40" s="1"/>
  <c r="N126" i="38"/>
  <c r="D9" i="40" s="1"/>
  <c r="N99" i="38"/>
  <c r="D131" i="40" s="1"/>
  <c r="N65" i="38"/>
  <c r="D77" i="40" s="1"/>
  <c r="E151" i="43"/>
  <c r="E154" i="43"/>
  <c r="E84" i="43"/>
  <c r="E42" i="43"/>
  <c r="E165" i="43"/>
  <c r="E53" i="43"/>
  <c r="E75" i="43"/>
  <c r="K45" i="38"/>
  <c r="N45" i="38" s="1"/>
  <c r="D163" i="40" s="1"/>
  <c r="H52" i="38"/>
  <c r="C114" i="40" s="1"/>
  <c r="E22" i="43"/>
  <c r="E157" i="43"/>
  <c r="E40" i="43"/>
  <c r="E41" i="43"/>
  <c r="E8" i="43"/>
  <c r="E19" i="43"/>
  <c r="E116" i="43"/>
  <c r="E57" i="43"/>
  <c r="E106" i="43"/>
  <c r="E142" i="43"/>
  <c r="E163" i="43"/>
  <c r="E121" i="43"/>
  <c r="E61" i="43"/>
  <c r="D134" i="43"/>
  <c r="E66" i="43"/>
  <c r="E129" i="43"/>
  <c r="E62" i="43"/>
  <c r="E56" i="43"/>
  <c r="C105" i="43"/>
  <c r="E127" i="43"/>
  <c r="C92" i="43"/>
  <c r="E92" i="43" s="1"/>
  <c r="E148" i="43"/>
  <c r="E119" i="43"/>
  <c r="E160" i="43"/>
  <c r="H16" i="38"/>
  <c r="C132" i="40" s="1"/>
  <c r="E38" i="38"/>
  <c r="F113" i="43" s="1"/>
  <c r="C113" i="43"/>
  <c r="E113" i="43" s="1"/>
  <c r="E86" i="38"/>
  <c r="F118" i="43" s="1"/>
  <c r="C118" i="43"/>
  <c r="E118" i="43" s="1"/>
  <c r="L51" i="38"/>
  <c r="D137" i="36" s="1"/>
  <c r="N51" i="38"/>
  <c r="D136" i="40" s="1"/>
  <c r="L163" i="38"/>
  <c r="D145" i="36" s="1"/>
  <c r="N163" i="38"/>
  <c r="D129" i="40" s="1"/>
  <c r="L143" i="38"/>
  <c r="D48" i="36" s="1"/>
  <c r="N143" i="38"/>
  <c r="D79" i="40" s="1"/>
  <c r="L67" i="38"/>
  <c r="D94" i="36" s="1"/>
  <c r="N67" i="38"/>
  <c r="D80" i="40" s="1"/>
  <c r="L75" i="38"/>
  <c r="D109" i="36" s="1"/>
  <c r="N75" i="38"/>
  <c r="D108" i="40" s="1"/>
  <c r="L26" i="38"/>
  <c r="D169" i="36" s="1"/>
  <c r="N26" i="38"/>
  <c r="D168" i="40" s="1"/>
  <c r="L169" i="38"/>
  <c r="D131" i="36" s="1"/>
  <c r="N169" i="38"/>
  <c r="D162" i="40" s="1"/>
  <c r="L54" i="38"/>
  <c r="D100" i="36" s="1"/>
  <c r="L12" i="38"/>
  <c r="D22" i="36" s="1"/>
  <c r="N12" i="38"/>
  <c r="D16" i="40" s="1"/>
  <c r="L107" i="38"/>
  <c r="D80" i="36" s="1"/>
  <c r="N107" i="38"/>
  <c r="D91" i="40" s="1"/>
  <c r="L168" i="38"/>
  <c r="D32" i="36" s="1"/>
  <c r="N168" i="38"/>
  <c r="D47" i="40" s="1"/>
  <c r="N150" i="38"/>
  <c r="D55" i="40" s="1"/>
  <c r="L112" i="38"/>
  <c r="D164" i="36" s="1"/>
  <c r="N112" i="38"/>
  <c r="D48" i="40" s="1"/>
  <c r="L44" i="38"/>
  <c r="D49" i="36" s="1"/>
  <c r="N44" i="38"/>
  <c r="D93" i="40" s="1"/>
  <c r="L18" i="38"/>
  <c r="D16" i="36" s="1"/>
  <c r="N18" i="38"/>
  <c r="D23" i="40" s="1"/>
  <c r="L28" i="38"/>
  <c r="D38" i="36" s="1"/>
  <c r="N28" i="38"/>
  <c r="D94" i="40" s="1"/>
  <c r="E46" i="38"/>
  <c r="F131" i="43" s="1"/>
  <c r="C131" i="43"/>
  <c r="E131" i="43" s="1"/>
  <c r="E48" i="38"/>
  <c r="F48" i="38" s="1"/>
  <c r="C144" i="43"/>
  <c r="C90" i="43"/>
  <c r="E14" i="38"/>
  <c r="F161" i="43" s="1"/>
  <c r="C161" i="43"/>
  <c r="E161" i="43" s="1"/>
  <c r="E72" i="38"/>
  <c r="C153" i="43"/>
  <c r="E72" i="43"/>
  <c r="E124" i="43"/>
  <c r="E34" i="43"/>
  <c r="E96" i="43"/>
  <c r="E70" i="38"/>
  <c r="F168" i="43" s="1"/>
  <c r="C168" i="43"/>
  <c r="E168" i="43" s="1"/>
  <c r="E36" i="38"/>
  <c r="F9" i="43" s="1"/>
  <c r="C9" i="43"/>
  <c r="E9" i="43" s="1"/>
  <c r="L87" i="38"/>
  <c r="D107" i="36" s="1"/>
  <c r="N87" i="38"/>
  <c r="D137" i="40" s="1"/>
  <c r="L56" i="38"/>
  <c r="D61" i="36" s="1"/>
  <c r="N56" i="38"/>
  <c r="D123" i="40" s="1"/>
  <c r="L100" i="38"/>
  <c r="D118" i="36" s="1"/>
  <c r="N100" i="38"/>
  <c r="D82" i="40" s="1"/>
  <c r="L149" i="38"/>
  <c r="D151" i="36" s="1"/>
  <c r="N149" i="38"/>
  <c r="D167" i="40" s="1"/>
  <c r="L117" i="38"/>
  <c r="D138" i="36" s="1"/>
  <c r="N117" i="38"/>
  <c r="D106" i="40" s="1"/>
  <c r="L43" i="38"/>
  <c r="D65" i="36" s="1"/>
  <c r="N43" i="38"/>
  <c r="D140" i="40" s="1"/>
  <c r="L101" i="38"/>
  <c r="D166" i="36" s="1"/>
  <c r="N101" i="38"/>
  <c r="D138" i="40" s="1"/>
  <c r="L118" i="38"/>
  <c r="D56" i="36" s="1"/>
  <c r="N118" i="38"/>
  <c r="D53" i="40" s="1"/>
  <c r="L74" i="38"/>
  <c r="D69" i="36" s="1"/>
  <c r="N74" i="38"/>
  <c r="D56" i="40" s="1"/>
  <c r="L170" i="38"/>
  <c r="D119" i="36" s="1"/>
  <c r="N170" i="38"/>
  <c r="D145" i="40" s="1"/>
  <c r="L34" i="38"/>
  <c r="D11" i="36" s="1"/>
  <c r="N34" i="38"/>
  <c r="D37" i="40" s="1"/>
  <c r="L132" i="38"/>
  <c r="D167" i="36" s="1"/>
  <c r="N132" i="38"/>
  <c r="D72" i="40" s="1"/>
  <c r="L130" i="38"/>
  <c r="D14" i="36" s="1"/>
  <c r="N130" i="38"/>
  <c r="D17" i="40" s="1"/>
  <c r="L95" i="38"/>
  <c r="D50" i="36" s="1"/>
  <c r="N95" i="38"/>
  <c r="D10" i="40" s="1"/>
  <c r="L47" i="38"/>
  <c r="D40" i="36" s="1"/>
  <c r="N47" i="38"/>
  <c r="D34" i="40" s="1"/>
  <c r="L55" i="38"/>
  <c r="D47" i="36" s="1"/>
  <c r="N55" i="38"/>
  <c r="D63" i="40" s="1"/>
  <c r="L41" i="38"/>
  <c r="D102" i="36" s="1"/>
  <c r="N41" i="38"/>
  <c r="D157" i="40" s="1"/>
  <c r="L142" i="38"/>
  <c r="D78" i="36" s="1"/>
  <c r="N142" i="38"/>
  <c r="D60" i="40" s="1"/>
  <c r="L22" i="38"/>
  <c r="D89" i="36" s="1"/>
  <c r="N22" i="38"/>
  <c r="D125" i="40" s="1"/>
  <c r="L121" i="38"/>
  <c r="D163" i="36" s="1"/>
  <c r="N121" i="38"/>
  <c r="D160" i="40" s="1"/>
  <c r="E164" i="43"/>
  <c r="E103" i="43"/>
  <c r="E49" i="43"/>
  <c r="E69" i="43"/>
  <c r="D76" i="43"/>
  <c r="E162" i="43"/>
  <c r="D144" i="43"/>
  <c r="E144" i="43" s="1"/>
  <c r="E68" i="43"/>
  <c r="D90" i="43"/>
  <c r="E125" i="43"/>
  <c r="E137" i="43"/>
  <c r="E71" i="43"/>
  <c r="E39" i="43"/>
  <c r="E170" i="43"/>
  <c r="E82" i="43"/>
  <c r="E150" i="43"/>
  <c r="D153" i="43"/>
  <c r="E43" i="43"/>
  <c r="E73" i="43"/>
  <c r="E58" i="43"/>
  <c r="E128" i="43"/>
  <c r="E93" i="43"/>
  <c r="E21" i="43"/>
  <c r="E126" i="43"/>
  <c r="E54" i="43"/>
  <c r="E87" i="43"/>
  <c r="E95" i="43"/>
  <c r="E117" i="43"/>
  <c r="E114" i="43"/>
  <c r="E141" i="43"/>
  <c r="L13" i="38"/>
  <c r="D85" i="36" s="1"/>
  <c r="N13" i="38"/>
  <c r="D81" i="40" s="1"/>
  <c r="L66" i="38"/>
  <c r="D39" i="36" s="1"/>
  <c r="N66" i="38"/>
  <c r="D49" i="40" s="1"/>
  <c r="L59" i="38"/>
  <c r="N59" i="38"/>
  <c r="D57" i="40" s="1"/>
  <c r="L113" i="38"/>
  <c r="D105" i="36" s="1"/>
  <c r="N113" i="38"/>
  <c r="D159" i="40" s="1"/>
  <c r="L166" i="38"/>
  <c r="D125" i="36" s="1"/>
  <c r="N166" i="38"/>
  <c r="D112" i="40" s="1"/>
  <c r="L102" i="38"/>
  <c r="D77" i="36" s="1"/>
  <c r="N102" i="38"/>
  <c r="D59" i="40" s="1"/>
  <c r="L50" i="38"/>
  <c r="D126" i="36" s="1"/>
  <c r="N50" i="38"/>
  <c r="D11" i="40" s="1"/>
  <c r="L153" i="38"/>
  <c r="D23" i="36" s="1"/>
  <c r="N153" i="38"/>
  <c r="D54" i="40" s="1"/>
  <c r="L128" i="38"/>
  <c r="D158" i="36" s="1"/>
  <c r="N128" i="38"/>
  <c r="D150" i="40" s="1"/>
  <c r="L167" i="38"/>
  <c r="D127" i="36" s="1"/>
  <c r="N167" i="38"/>
  <c r="D151" i="40" s="1"/>
  <c r="L88" i="38"/>
  <c r="N88" i="38"/>
  <c r="D18" i="40" s="1"/>
  <c r="L139" i="38"/>
  <c r="D75" i="36" s="1"/>
  <c r="N139" i="38"/>
  <c r="D70" i="40" s="1"/>
  <c r="L146" i="38"/>
  <c r="D72" i="36" s="1"/>
  <c r="N146" i="38"/>
  <c r="D98" i="40" s="1"/>
  <c r="L80" i="38"/>
  <c r="D17" i="36" s="1"/>
  <c r="N80" i="38"/>
  <c r="D52" i="40" s="1"/>
  <c r="L46" i="38"/>
  <c r="N46" i="38"/>
  <c r="D164" i="40" s="1"/>
  <c r="K164" i="38"/>
  <c r="L155" i="38"/>
  <c r="D66" i="36" s="1"/>
  <c r="N155" i="38"/>
  <c r="D103" i="40" s="1"/>
  <c r="L124" i="38"/>
  <c r="D20" i="36" s="1"/>
  <c r="N124" i="38"/>
  <c r="D24" i="40" s="1"/>
  <c r="L148" i="38"/>
  <c r="D46" i="36" s="1"/>
  <c r="N148" i="38"/>
  <c r="D96" i="40" s="1"/>
  <c r="L161" i="38"/>
  <c r="D150" i="36" s="1"/>
  <c r="N161" i="38"/>
  <c r="D169" i="40" s="1"/>
  <c r="L81" i="38"/>
  <c r="D34" i="36" s="1"/>
  <c r="N81" i="38"/>
  <c r="D31" i="40" s="1"/>
  <c r="L17" i="38"/>
  <c r="D124" i="36" s="1"/>
  <c r="N17" i="38"/>
  <c r="D144" i="40" s="1"/>
  <c r="L57" i="38"/>
  <c r="N57" i="38"/>
  <c r="D88" i="40" s="1"/>
  <c r="L78" i="38"/>
  <c r="D112" i="36" s="1"/>
  <c r="N78" i="38"/>
  <c r="D113" i="40" s="1"/>
  <c r="L89" i="38"/>
  <c r="D120" i="36" s="1"/>
  <c r="N89" i="38"/>
  <c r="D35" i="40" s="1"/>
  <c r="L157" i="38"/>
  <c r="D87" i="36" s="1"/>
  <c r="N157" i="38"/>
  <c r="D69" i="40" s="1"/>
  <c r="L9" i="38"/>
  <c r="D83" i="36" s="1"/>
  <c r="N9" i="38"/>
  <c r="D64" i="40" s="1"/>
  <c r="L73" i="38"/>
  <c r="D96" i="36" s="1"/>
  <c r="N73" i="38"/>
  <c r="D85" i="40" s="1"/>
  <c r="L53" i="38"/>
  <c r="D139" i="36" s="1"/>
  <c r="N53" i="38"/>
  <c r="D156" i="40" s="1"/>
  <c r="L23" i="38"/>
  <c r="D136" i="36" s="1"/>
  <c r="N23" i="38"/>
  <c r="D111" i="40" s="1"/>
  <c r="L77" i="38"/>
  <c r="D62" i="36" s="1"/>
  <c r="N77" i="38"/>
  <c r="D42" i="40" s="1"/>
  <c r="L20" i="38"/>
  <c r="D101" i="36" s="1"/>
  <c r="N20" i="38"/>
  <c r="D122" i="40" s="1"/>
  <c r="L68" i="38"/>
  <c r="D36" i="36" s="1"/>
  <c r="N68" i="38"/>
  <c r="D44" i="40" s="1"/>
  <c r="E47" i="43"/>
  <c r="E107" i="43"/>
  <c r="E98" i="43"/>
  <c r="L61" i="38"/>
  <c r="D133" i="36" s="1"/>
  <c r="N61" i="38"/>
  <c r="D73" i="40" s="1"/>
  <c r="L129" i="38"/>
  <c r="D130" i="36" s="1"/>
  <c r="N129" i="38"/>
  <c r="D105" i="40" s="1"/>
  <c r="L106" i="38"/>
  <c r="D114" i="36" s="1"/>
  <c r="N106" i="38"/>
  <c r="D120" i="40" s="1"/>
  <c r="L58" i="38"/>
  <c r="D60" i="36" s="1"/>
  <c r="N58" i="38"/>
  <c r="D51" i="40" s="1"/>
  <c r="L158" i="38"/>
  <c r="D81" i="36" s="1"/>
  <c r="N158" i="38"/>
  <c r="D78" i="40" s="1"/>
  <c r="L110" i="38"/>
  <c r="D41" i="36" s="1"/>
  <c r="N110" i="38"/>
  <c r="D67" i="40" s="1"/>
  <c r="L125" i="38"/>
  <c r="D73" i="36" s="1"/>
  <c r="N125" i="38"/>
  <c r="D117" i="40" s="1"/>
  <c r="L104" i="38"/>
  <c r="D79" i="36" s="1"/>
  <c r="N104" i="38"/>
  <c r="D19" i="40" s="1"/>
  <c r="L96" i="38"/>
  <c r="D157" i="36" s="1"/>
  <c r="N96" i="38"/>
  <c r="D102" i="40" s="1"/>
  <c r="L138" i="38"/>
  <c r="D147" i="36" s="1"/>
  <c r="N138" i="38"/>
  <c r="D142" i="40" s="1"/>
  <c r="L156" i="38"/>
  <c r="D97" i="36" s="1"/>
  <c r="N156" i="38"/>
  <c r="D58" i="40" s="1"/>
  <c r="L140" i="38"/>
  <c r="D90" i="36" s="1"/>
  <c r="N140" i="38"/>
  <c r="D45" i="40" s="1"/>
  <c r="L15" i="38"/>
  <c r="D53" i="36" s="1"/>
  <c r="N15" i="38"/>
  <c r="D119" i="40" s="1"/>
  <c r="L145" i="38"/>
  <c r="D52" i="36" s="1"/>
  <c r="N145" i="38"/>
  <c r="D32" i="40" s="1"/>
  <c r="L31" i="38"/>
  <c r="D68" i="36" s="1"/>
  <c r="N31" i="38"/>
  <c r="D139" i="40" s="1"/>
  <c r="L76" i="38"/>
  <c r="D153" i="36" s="1"/>
  <c r="N76" i="38"/>
  <c r="D148" i="40" s="1"/>
  <c r="L62" i="38"/>
  <c r="D18" i="36" s="1"/>
  <c r="N62" i="38"/>
  <c r="D21" i="40" s="1"/>
  <c r="L86" i="38"/>
  <c r="D115" i="36" s="1"/>
  <c r="N86" i="38"/>
  <c r="D115" i="40" s="1"/>
  <c r="L49" i="38"/>
  <c r="D42" i="36" s="1"/>
  <c r="N49" i="38"/>
  <c r="D66" i="40" s="1"/>
  <c r="L84" i="38"/>
  <c r="D55" i="36" s="1"/>
  <c r="N84" i="38"/>
  <c r="D100" i="40" s="1"/>
  <c r="E27" i="43"/>
  <c r="E83" i="43"/>
  <c r="E64" i="43"/>
  <c r="E135" i="43"/>
  <c r="E34" i="38"/>
  <c r="F13" i="43" s="1"/>
  <c r="C13" i="43"/>
  <c r="E13" i="43" s="1"/>
  <c r="E88" i="38"/>
  <c r="F31" i="43" s="1"/>
  <c r="C31" i="43"/>
  <c r="E31" i="43" s="1"/>
  <c r="E104" i="38"/>
  <c r="F79" i="43" s="1"/>
  <c r="C79" i="43"/>
  <c r="E79" i="43" s="1"/>
  <c r="E56" i="38"/>
  <c r="F59" i="43" s="1"/>
  <c r="C59" i="43"/>
  <c r="E59" i="43" s="1"/>
  <c r="L69" i="38"/>
  <c r="D129" i="36" s="1"/>
  <c r="N69" i="38"/>
  <c r="D166" i="40" s="1"/>
  <c r="L10" i="38"/>
  <c r="D12" i="36" s="1"/>
  <c r="N10" i="38"/>
  <c r="D15" i="40" s="1"/>
  <c r="L147" i="38"/>
  <c r="D67" i="36" s="1"/>
  <c r="N147" i="38"/>
  <c r="D86" i="40" s="1"/>
  <c r="L35" i="38"/>
  <c r="D29" i="36" s="1"/>
  <c r="N35" i="38"/>
  <c r="D68" i="40" s="1"/>
  <c r="L16" i="38"/>
  <c r="D161" i="36" s="1"/>
  <c r="N16" i="38"/>
  <c r="D132" i="40" s="1"/>
  <c r="L127" i="38"/>
  <c r="D93" i="36" s="1"/>
  <c r="N127" i="38"/>
  <c r="D99" i="40" s="1"/>
  <c r="L30" i="38"/>
  <c r="D165" i="36" s="1"/>
  <c r="N30" i="38"/>
  <c r="D130" i="40" s="1"/>
  <c r="L83" i="38"/>
  <c r="D86" i="36" s="1"/>
  <c r="N83" i="38"/>
  <c r="D133" i="40" s="1"/>
  <c r="L71" i="38"/>
  <c r="D99" i="36" s="1"/>
  <c r="N71" i="38"/>
  <c r="D50" i="40" s="1"/>
  <c r="L115" i="38"/>
  <c r="D108" i="36" s="1"/>
  <c r="N115" i="38"/>
  <c r="D84" i="40" s="1"/>
  <c r="L136" i="38"/>
  <c r="D70" i="36" s="1"/>
  <c r="N136" i="38"/>
  <c r="D41" i="40" s="1"/>
  <c r="L40" i="38"/>
  <c r="D64" i="36" s="1"/>
  <c r="L25" i="38"/>
  <c r="D142" i="36" s="1"/>
  <c r="N25" i="38"/>
  <c r="D158" i="40" s="1"/>
  <c r="E158" i="43"/>
  <c r="E139" i="43"/>
  <c r="E111" i="43"/>
  <c r="E147" i="43"/>
  <c r="E67" i="43"/>
  <c r="E32" i="38"/>
  <c r="F88" i="43" s="1"/>
  <c r="C88" i="43"/>
  <c r="E88" i="43" s="1"/>
  <c r="E120" i="43"/>
  <c r="E109" i="43"/>
  <c r="E26" i="43"/>
  <c r="E24" i="38"/>
  <c r="F94" i="43" s="1"/>
  <c r="C94" i="43"/>
  <c r="E94" i="43" s="1"/>
  <c r="E100" i="38"/>
  <c r="F115" i="43" s="1"/>
  <c r="C115" i="43"/>
  <c r="E115" i="43" s="1"/>
  <c r="E84" i="38"/>
  <c r="F55" i="43" s="1"/>
  <c r="C55" i="43"/>
  <c r="E55" i="43" s="1"/>
  <c r="E30" i="38"/>
  <c r="F167" i="43" s="1"/>
  <c r="C167" i="43"/>
  <c r="E167" i="43" s="1"/>
  <c r="E97" i="43"/>
  <c r="E11" i="43"/>
  <c r="E102" i="38"/>
  <c r="F78" i="43" s="1"/>
  <c r="C78" i="43"/>
  <c r="E78" i="43" s="1"/>
  <c r="E68" i="38"/>
  <c r="F35" i="43" s="1"/>
  <c r="C35" i="43"/>
  <c r="E35" i="43" s="1"/>
  <c r="E33" i="43"/>
  <c r="E146" i="43"/>
  <c r="E52" i="43"/>
  <c r="E114" i="38"/>
  <c r="F123" i="43" s="1"/>
  <c r="D123" i="43"/>
  <c r="E123" i="43" s="1"/>
  <c r="E87" i="38"/>
  <c r="F104" i="43" s="1"/>
  <c r="D104" i="43"/>
  <c r="E104" i="43" s="1"/>
  <c r="E57" i="38"/>
  <c r="F29" i="43" s="1"/>
  <c r="D29" i="43"/>
  <c r="E29" i="43" s="1"/>
  <c r="E22" i="38"/>
  <c r="F86" i="43" s="1"/>
  <c r="D86" i="43"/>
  <c r="E86" i="43" s="1"/>
  <c r="E129" i="38"/>
  <c r="F130" i="43" s="1"/>
  <c r="D130" i="43"/>
  <c r="E130" i="43" s="1"/>
  <c r="E85" i="43"/>
  <c r="E92" i="38"/>
  <c r="F155" i="43" s="1"/>
  <c r="D155" i="43"/>
  <c r="E44" i="38"/>
  <c r="F50" i="43" s="1"/>
  <c r="D50" i="43"/>
  <c r="E50" i="43" s="1"/>
  <c r="E152" i="38"/>
  <c r="F17" i="43" s="1"/>
  <c r="D17" i="43"/>
  <c r="E17" i="43" s="1"/>
  <c r="E12" i="43"/>
  <c r="C134" i="43"/>
  <c r="E63" i="43"/>
  <c r="E89" i="43"/>
  <c r="E12" i="38"/>
  <c r="F23" i="43" s="1"/>
  <c r="C23" i="43"/>
  <c r="E23" i="43" s="1"/>
  <c r="E112" i="43"/>
  <c r="L11" i="38"/>
  <c r="D63" i="36" s="1"/>
  <c r="N11" i="38"/>
  <c r="D152" i="40" s="1"/>
  <c r="L36" i="38"/>
  <c r="D9" i="36" s="1"/>
  <c r="N36" i="38"/>
  <c r="D20" i="40" s="1"/>
  <c r="L14" i="38"/>
  <c r="D160" i="36" s="1"/>
  <c r="N14" i="38"/>
  <c r="D116" i="40" s="1"/>
  <c r="L19" i="38"/>
  <c r="D25" i="36" s="1"/>
  <c r="N19" i="38"/>
  <c r="D33" i="40" s="1"/>
  <c r="L108" i="38"/>
  <c r="D156" i="36" s="1"/>
  <c r="N108" i="38"/>
  <c r="D90" i="40" s="1"/>
  <c r="L151" i="38"/>
  <c r="D10" i="36" s="1"/>
  <c r="N151" i="38"/>
  <c r="D36" i="40" s="1"/>
  <c r="L8" i="38"/>
  <c r="D24" i="36" s="1"/>
  <c r="N8" i="38"/>
  <c r="D40" i="40" s="1"/>
  <c r="L114" i="38"/>
  <c r="D122" i="36" s="1"/>
  <c r="N114" i="38"/>
  <c r="D146" i="40" s="1"/>
  <c r="L64" i="38"/>
  <c r="D8" i="36" s="1"/>
  <c r="N64" i="38"/>
  <c r="D8" i="40" s="1"/>
  <c r="L52" i="38"/>
  <c r="D104" i="36" s="1"/>
  <c r="N52" i="38"/>
  <c r="D114" i="40" s="1"/>
  <c r="L98" i="38"/>
  <c r="D98" i="36" s="1"/>
  <c r="N98" i="38"/>
  <c r="D22" i="40" s="1"/>
  <c r="L27" i="38"/>
  <c r="D13" i="36" s="1"/>
  <c r="N27" i="38"/>
  <c r="D26" i="40" s="1"/>
  <c r="L90" i="38"/>
  <c r="D82" i="36" s="1"/>
  <c r="N90" i="38"/>
  <c r="D95" i="40" s="1"/>
  <c r="L165" i="38"/>
  <c r="D143" i="36" s="1"/>
  <c r="N165" i="38"/>
  <c r="D104" i="40" s="1"/>
  <c r="L137" i="38"/>
  <c r="D54" i="36" s="1"/>
  <c r="N137" i="38"/>
  <c r="D75" i="40" s="1"/>
  <c r="L21" i="38"/>
  <c r="D140" i="36" s="1"/>
  <c r="N21" i="38"/>
  <c r="D141" i="40" s="1"/>
  <c r="L119" i="38"/>
  <c r="D110" i="36" s="1"/>
  <c r="N119" i="38"/>
  <c r="D65" i="40" s="1"/>
  <c r="L105" i="38"/>
  <c r="D59" i="36" s="1"/>
  <c r="N105" i="38"/>
  <c r="D92" i="40" s="1"/>
  <c r="L134" i="38"/>
  <c r="D57" i="36" s="1"/>
  <c r="N134" i="38"/>
  <c r="D14" i="40" s="1"/>
  <c r="L38" i="38"/>
  <c r="N38" i="38"/>
  <c r="D39" i="40" s="1"/>
  <c r="L29" i="38"/>
  <c r="D76" i="36" s="1"/>
  <c r="N29" i="38"/>
  <c r="D74" i="40" s="1"/>
  <c r="L85" i="38"/>
  <c r="D121" i="36" s="1"/>
  <c r="N85" i="38"/>
  <c r="D30" i="40" s="1"/>
  <c r="L159" i="38"/>
  <c r="D27" i="36" s="1"/>
  <c r="N159" i="38"/>
  <c r="D28" i="40" s="1"/>
  <c r="L144" i="38"/>
  <c r="D37" i="36" s="1"/>
  <c r="N144" i="38"/>
  <c r="D83" i="40" s="1"/>
  <c r="L120" i="38"/>
  <c r="D15" i="36" s="1"/>
  <c r="N120" i="38"/>
  <c r="D29" i="40" s="1"/>
  <c r="L122" i="38"/>
  <c r="D141" i="36" s="1"/>
  <c r="N122" i="38"/>
  <c r="D12" i="40" s="1"/>
  <c r="L91" i="38"/>
  <c r="D45" i="36" s="1"/>
  <c r="N91" i="38"/>
  <c r="D62" i="40" s="1"/>
  <c r="L33" i="38"/>
  <c r="D58" i="36" s="1"/>
  <c r="N33" i="38"/>
  <c r="D118" i="40" s="1"/>
  <c r="L63" i="38"/>
  <c r="D35" i="36" s="1"/>
  <c r="N63" i="38"/>
  <c r="D46" i="40" s="1"/>
  <c r="L135" i="38"/>
  <c r="D148" i="36" s="1"/>
  <c r="N135" i="38"/>
  <c r="D76" i="40" s="1"/>
  <c r="L60" i="38"/>
  <c r="D116" i="36" s="1"/>
  <c r="N60" i="38"/>
  <c r="D126" i="40" s="1"/>
  <c r="E18" i="43"/>
  <c r="L93" i="38"/>
  <c r="D113" i="36" s="1"/>
  <c r="N93" i="38"/>
  <c r="D109" i="40" s="1"/>
  <c r="L79" i="38"/>
  <c r="D159" i="36" s="1"/>
  <c r="N79" i="38"/>
  <c r="D153" i="40" s="1"/>
  <c r="L92" i="38"/>
  <c r="D152" i="36" s="1"/>
  <c r="N92" i="38"/>
  <c r="D128" i="40" s="1"/>
  <c r="D33" i="36"/>
  <c r="K116" i="38"/>
  <c r="K72" i="38"/>
  <c r="K37" i="38"/>
  <c r="D31" i="36"/>
  <c r="D134" i="36"/>
  <c r="D30" i="36"/>
  <c r="S7" i="37"/>
  <c r="D103" i="36"/>
  <c r="K97" i="38"/>
  <c r="K39" i="38"/>
  <c r="H68" i="38"/>
  <c r="H81" i="38"/>
  <c r="F81" i="38"/>
  <c r="E113" i="38"/>
  <c r="F102" i="43" s="1"/>
  <c r="E150" i="38"/>
  <c r="H122" i="38"/>
  <c r="F122" i="38"/>
  <c r="H55" i="38"/>
  <c r="F55" i="38"/>
  <c r="E51" i="38"/>
  <c r="F139" i="43" s="1"/>
  <c r="E119" i="38"/>
  <c r="F111" i="43" s="1"/>
  <c r="E163" i="38"/>
  <c r="F147" i="43" s="1"/>
  <c r="E149" i="38"/>
  <c r="F149" i="43" s="1"/>
  <c r="E148" i="38"/>
  <c r="F46" i="43" s="1"/>
  <c r="E130" i="38"/>
  <c r="F14" i="43" s="1"/>
  <c r="E168" i="38"/>
  <c r="F37" i="43" s="1"/>
  <c r="E133" i="38"/>
  <c r="F51" i="43" s="1"/>
  <c r="E106" i="38"/>
  <c r="F110" i="43" s="1"/>
  <c r="E18" i="38"/>
  <c r="F20" i="43" s="1"/>
  <c r="E85" i="38"/>
  <c r="F122" i="43" s="1"/>
  <c r="E47" i="38"/>
  <c r="F44" i="43" s="1"/>
  <c r="E31" i="38"/>
  <c r="F67" i="43" s="1"/>
  <c r="E120" i="38"/>
  <c r="F15" i="43" s="1"/>
  <c r="E131" i="38"/>
  <c r="F120" i="43" s="1"/>
  <c r="E115" i="38"/>
  <c r="F109" i="43" s="1"/>
  <c r="C69" i="36"/>
  <c r="E153" i="38"/>
  <c r="F22" i="43" s="1"/>
  <c r="E159" i="38"/>
  <c r="F26" i="43" s="1"/>
  <c r="E128" i="38"/>
  <c r="F157" i="43" s="1"/>
  <c r="E66" i="38"/>
  <c r="F40" i="43" s="1"/>
  <c r="E141" i="38"/>
  <c r="F41" i="43" s="1"/>
  <c r="E64" i="38"/>
  <c r="F8" i="43" s="1"/>
  <c r="E80" i="38"/>
  <c r="F19" i="43" s="1"/>
  <c r="E67" i="38"/>
  <c r="F97" i="43" s="1"/>
  <c r="E27" i="38"/>
  <c r="F11" i="43" s="1"/>
  <c r="E39" i="38"/>
  <c r="E59" i="38"/>
  <c r="F33" i="43" s="1"/>
  <c r="E111" i="38"/>
  <c r="F146" i="43" s="1"/>
  <c r="E95" i="38"/>
  <c r="F52" i="43" s="1"/>
  <c r="E132" i="38"/>
  <c r="F166" i="43" s="1"/>
  <c r="E89" i="38"/>
  <c r="F116" i="43" s="1"/>
  <c r="E134" i="38"/>
  <c r="F57" i="43" s="1"/>
  <c r="E78" i="38"/>
  <c r="F106" i="43" s="1"/>
  <c r="E25" i="38"/>
  <c r="F142" i="43" s="1"/>
  <c r="E121" i="38"/>
  <c r="F163" i="43" s="1"/>
  <c r="E170" i="38"/>
  <c r="F121" i="43" s="1"/>
  <c r="E77" i="38"/>
  <c r="F61" i="43" s="1"/>
  <c r="E37" i="38"/>
  <c r="C60" i="36"/>
  <c r="E108" i="38"/>
  <c r="F156" i="43" s="1"/>
  <c r="E11" i="38"/>
  <c r="F63" i="43" s="1"/>
  <c r="E162" i="38"/>
  <c r="F151" i="43" s="1"/>
  <c r="E127" i="38"/>
  <c r="F89" i="43" s="1"/>
  <c r="E161" i="38"/>
  <c r="F154" i="43" s="1"/>
  <c r="E13" i="38"/>
  <c r="F84" i="43" s="1"/>
  <c r="E157" i="38"/>
  <c r="F91" i="43" s="1"/>
  <c r="E165" i="38"/>
  <c r="F145" i="43" s="1"/>
  <c r="E49" i="38"/>
  <c r="F42" i="43" s="1"/>
  <c r="E61" i="38"/>
  <c r="F136" i="43" s="1"/>
  <c r="E101" i="38"/>
  <c r="F165" i="43" s="1"/>
  <c r="E75" i="38"/>
  <c r="F112" i="43" s="1"/>
  <c r="E137" i="38"/>
  <c r="F53" i="43" s="1"/>
  <c r="E94" i="38"/>
  <c r="F152" i="43" s="1"/>
  <c r="E53" i="38"/>
  <c r="F140" i="43" s="1"/>
  <c r="E62" i="38"/>
  <c r="F16" i="43" s="1"/>
  <c r="E29" i="38"/>
  <c r="F75" i="43" s="1"/>
  <c r="E23" i="38"/>
  <c r="F133" i="43" s="1"/>
  <c r="H124" i="38"/>
  <c r="F124" i="38"/>
  <c r="H138" i="38"/>
  <c r="F138" i="38"/>
  <c r="E126" i="38"/>
  <c r="F27" i="43" s="1"/>
  <c r="E142" i="38"/>
  <c r="F83" i="43" s="1"/>
  <c r="E158" i="38"/>
  <c r="F72" i="43" s="1"/>
  <c r="E105" i="38"/>
  <c r="F64" i="43" s="1"/>
  <c r="E69" i="38"/>
  <c r="F124" i="43" s="1"/>
  <c r="E144" i="38"/>
  <c r="F34" i="43" s="1"/>
  <c r="E169" i="38"/>
  <c r="F135" i="43" s="1"/>
  <c r="E156" i="38"/>
  <c r="F96" i="43" s="1"/>
  <c r="R7" i="37"/>
  <c r="D8" i="38"/>
  <c r="H41" i="38"/>
  <c r="F41" i="38"/>
  <c r="E96" i="38"/>
  <c r="F158" i="43" s="1"/>
  <c r="E112" i="38"/>
  <c r="F164" i="43" s="1"/>
  <c r="E35" i="38"/>
  <c r="F30" i="43" s="1"/>
  <c r="E20" i="38"/>
  <c r="F103" i="43" s="1"/>
  <c r="E43" i="38"/>
  <c r="F74" i="43" s="1"/>
  <c r="E145" i="38"/>
  <c r="F49" i="43" s="1"/>
  <c r="E143" i="38"/>
  <c r="F45" i="43" s="1"/>
  <c r="E71" i="38"/>
  <c r="F99" i="43" s="1"/>
  <c r="E136" i="38"/>
  <c r="F69" i="43" s="1"/>
  <c r="E45" i="38"/>
  <c r="F76" i="43" s="1"/>
  <c r="E83" i="38"/>
  <c r="F81" i="43" s="1"/>
  <c r="E42" i="38"/>
  <c r="F162" i="43" s="1"/>
  <c r="E99" i="38"/>
  <c r="F132" i="43" s="1"/>
  <c r="E146" i="38"/>
  <c r="F68" i="43" s="1"/>
  <c r="E116" i="38"/>
  <c r="E50" i="38"/>
  <c r="F125" i="43" s="1"/>
  <c r="E117" i="38"/>
  <c r="F137" i="43" s="1"/>
  <c r="E167" i="38"/>
  <c r="F129" i="43" s="1"/>
  <c r="E155" i="38"/>
  <c r="F62" i="43" s="1"/>
  <c r="E125" i="38"/>
  <c r="F71" i="43" s="1"/>
  <c r="E15" i="38"/>
  <c r="F56" i="43" s="1"/>
  <c r="E82" i="38"/>
  <c r="F39" i="43" s="1"/>
  <c r="E97" i="38"/>
  <c r="E26" i="38"/>
  <c r="F170" i="43" s="1"/>
  <c r="E9" i="38"/>
  <c r="F82" i="43" s="1"/>
  <c r="E123" i="38"/>
  <c r="F127" i="43" s="1"/>
  <c r="E76" i="38"/>
  <c r="F150" i="43" s="1"/>
  <c r="E164" i="38"/>
  <c r="E63" i="38"/>
  <c r="F38" i="43" s="1"/>
  <c r="E91" i="38"/>
  <c r="F48" i="43" s="1"/>
  <c r="E135" i="38"/>
  <c r="F148" i="43" s="1"/>
  <c r="E110" i="38"/>
  <c r="F43" i="43" s="1"/>
  <c r="F139" i="38"/>
  <c r="H139" i="38"/>
  <c r="E90" i="38"/>
  <c r="F85" i="43" s="1"/>
  <c r="E10" i="38"/>
  <c r="F12" i="43" s="1"/>
  <c r="E109" i="38"/>
  <c r="F73" i="43" s="1"/>
  <c r="E103" i="38"/>
  <c r="F119" i="43" s="1"/>
  <c r="E33" i="38"/>
  <c r="F58" i="43" s="1"/>
  <c r="E79" i="38"/>
  <c r="F160" i="43" s="1"/>
  <c r="E166" i="38"/>
  <c r="F128" i="43" s="1"/>
  <c r="E160" i="38"/>
  <c r="F93" i="43" s="1"/>
  <c r="E154" i="38"/>
  <c r="F21" i="43" s="1"/>
  <c r="E28" i="38"/>
  <c r="F36" i="43" s="1"/>
  <c r="E151" i="38"/>
  <c r="F10" i="43" s="1"/>
  <c r="E93" i="38"/>
  <c r="F108" i="43" s="1"/>
  <c r="E17" i="38"/>
  <c r="F126" i="43" s="1"/>
  <c r="E118" i="38"/>
  <c r="F54" i="43" s="1"/>
  <c r="E98" i="38"/>
  <c r="F101" i="43" s="1"/>
  <c r="E140" i="38"/>
  <c r="F87" i="43" s="1"/>
  <c r="E73" i="38"/>
  <c r="F95" i="43" s="1"/>
  <c r="E60" i="38"/>
  <c r="F117" i="43" s="1"/>
  <c r="E107" i="38"/>
  <c r="F80" i="43" s="1"/>
  <c r="E147" i="38"/>
  <c r="F70" i="43" s="1"/>
  <c r="E19" i="38"/>
  <c r="F25" i="43" s="1"/>
  <c r="E65" i="38"/>
  <c r="F114" i="43" s="1"/>
  <c r="E21" i="38"/>
  <c r="F141" i="43" s="1"/>
  <c r="I80" i="26"/>
  <c r="I77" i="26"/>
  <c r="I72" i="26"/>
  <c r="I69" i="26"/>
  <c r="I68" i="26"/>
  <c r="I67" i="26"/>
  <c r="I66" i="26"/>
  <c r="F65" i="26"/>
  <c r="E65" i="26"/>
  <c r="I64" i="26"/>
  <c r="I63" i="26"/>
  <c r="I41" i="26"/>
  <c r="I62" i="26"/>
  <c r="E60" i="26"/>
  <c r="F65" i="43" l="1"/>
  <c r="F105" i="43"/>
  <c r="F90" i="43"/>
  <c r="F57" i="38"/>
  <c r="F24" i="43"/>
  <c r="F98" i="43"/>
  <c r="H114" i="38"/>
  <c r="F134" i="43"/>
  <c r="F169" i="43"/>
  <c r="L45" i="38"/>
  <c r="D71" i="36" s="1"/>
  <c r="F152" i="38"/>
  <c r="E155" i="43"/>
  <c r="N48" i="38"/>
  <c r="D134" i="40" s="1"/>
  <c r="H152" i="38"/>
  <c r="C27" i="40" s="1"/>
  <c r="F27" i="40" s="1"/>
  <c r="F68" i="38"/>
  <c r="E169" i="43"/>
  <c r="H92" i="38"/>
  <c r="C128" i="40" s="1"/>
  <c r="F128" i="40" s="1"/>
  <c r="F153" i="43"/>
  <c r="F92" i="43"/>
  <c r="F92" i="38"/>
  <c r="C152" i="36" s="1"/>
  <c r="F152" i="36" s="1"/>
  <c r="G152" i="36" s="1"/>
  <c r="F144" i="43"/>
  <c r="E105" i="43"/>
  <c r="E24" i="43"/>
  <c r="F38" i="38"/>
  <c r="C103" i="36" s="1"/>
  <c r="F103" i="36" s="1"/>
  <c r="G103" i="36" s="1"/>
  <c r="F102" i="38"/>
  <c r="C77" i="36" s="1"/>
  <c r="F77" i="36" s="1"/>
  <c r="G77" i="36" s="1"/>
  <c r="F24" i="38"/>
  <c r="C92" i="36" s="1"/>
  <c r="F92" i="36" s="1"/>
  <c r="G92" i="36" s="1"/>
  <c r="H104" i="38"/>
  <c r="C19" i="40" s="1"/>
  <c r="F19" i="40" s="1"/>
  <c r="H38" i="38"/>
  <c r="C39" i="40" s="1"/>
  <c r="F39" i="40" s="1"/>
  <c r="H87" i="38"/>
  <c r="C137" i="40" s="1"/>
  <c r="F137" i="40" s="1"/>
  <c r="F86" i="38"/>
  <c r="C115" i="36" s="1"/>
  <c r="F115" i="36" s="1"/>
  <c r="G115" i="36" s="1"/>
  <c r="F44" i="38"/>
  <c r="C49" i="36" s="1"/>
  <c r="F49" i="36" s="1"/>
  <c r="G49" i="36" s="1"/>
  <c r="H32" i="38"/>
  <c r="C110" i="40" s="1"/>
  <c r="F110" i="40" s="1"/>
  <c r="F104" i="38"/>
  <c r="C79" i="36" s="1"/>
  <c r="F79" i="36" s="1"/>
  <c r="G79" i="36" s="1"/>
  <c r="F36" i="38"/>
  <c r="F56" i="38"/>
  <c r="H88" i="38"/>
  <c r="E76" i="43"/>
  <c r="H70" i="38"/>
  <c r="C161" i="40" s="1"/>
  <c r="F161" i="40" s="1"/>
  <c r="F14" i="38"/>
  <c r="C160" i="36" s="1"/>
  <c r="F160" i="36" s="1"/>
  <c r="G160" i="36" s="1"/>
  <c r="F22" i="38"/>
  <c r="C89" i="36" s="1"/>
  <c r="F89" i="36" s="1"/>
  <c r="G89" i="36" s="1"/>
  <c r="F84" i="38"/>
  <c r="C55" i="36" s="1"/>
  <c r="F55" i="36" s="1"/>
  <c r="G55" i="36" s="1"/>
  <c r="H24" i="38"/>
  <c r="C135" i="40" s="1"/>
  <c r="F135" i="40" s="1"/>
  <c r="H46" i="38"/>
  <c r="F12" i="38"/>
  <c r="C22" i="36" s="1"/>
  <c r="F22" i="36" s="1"/>
  <c r="G22" i="36" s="1"/>
  <c r="F34" i="38"/>
  <c r="F72" i="38"/>
  <c r="C155" i="36" s="1"/>
  <c r="H34" i="38"/>
  <c r="C37" i="40" s="1"/>
  <c r="F37" i="40" s="1"/>
  <c r="H129" i="38"/>
  <c r="C105" i="40" s="1"/>
  <c r="F105" i="40" s="1"/>
  <c r="H57" i="38"/>
  <c r="C88" i="40" s="1"/>
  <c r="F88" i="40" s="1"/>
  <c r="F114" i="38"/>
  <c r="C122" i="36" s="1"/>
  <c r="F122" i="36" s="1"/>
  <c r="G122" i="36" s="1"/>
  <c r="H102" i="38"/>
  <c r="C59" i="40" s="1"/>
  <c r="F59" i="40" s="1"/>
  <c r="F30" i="38"/>
  <c r="C165" i="36" s="1"/>
  <c r="F165" i="36" s="1"/>
  <c r="G165" i="36" s="1"/>
  <c r="F100" i="38"/>
  <c r="C118" i="36" s="1"/>
  <c r="F118" i="36" s="1"/>
  <c r="G118" i="36" s="1"/>
  <c r="H48" i="38"/>
  <c r="C134" i="40" s="1"/>
  <c r="E134" i="43"/>
  <c r="F61" i="40"/>
  <c r="F143" i="40"/>
  <c r="H14" i="38"/>
  <c r="C116" i="40" s="1"/>
  <c r="F116" i="40" s="1"/>
  <c r="H12" i="38"/>
  <c r="C16" i="40" s="1"/>
  <c r="F16" i="40" s="1"/>
  <c r="F51" i="40"/>
  <c r="F32" i="38"/>
  <c r="C84" i="36" s="1"/>
  <c r="F84" i="36" s="1"/>
  <c r="G84" i="36" s="1"/>
  <c r="H86" i="38"/>
  <c r="C115" i="40" s="1"/>
  <c r="F115" i="40" s="1"/>
  <c r="H84" i="38"/>
  <c r="C100" i="40" s="1"/>
  <c r="F100" i="40" s="1"/>
  <c r="H56" i="38"/>
  <c r="C123" i="40" s="1"/>
  <c r="F123" i="40" s="1"/>
  <c r="F70" i="38"/>
  <c r="C168" i="36" s="1"/>
  <c r="F168" i="36" s="1"/>
  <c r="G168" i="36" s="1"/>
  <c r="H30" i="38"/>
  <c r="C130" i="40" s="1"/>
  <c r="F130" i="40" s="1"/>
  <c r="H100" i="38"/>
  <c r="C82" i="40" s="1"/>
  <c r="F82" i="40" s="1"/>
  <c r="F64" i="36"/>
  <c r="G64" i="36" s="1"/>
  <c r="H72" i="38"/>
  <c r="C147" i="40" s="1"/>
  <c r="F114" i="40"/>
  <c r="F129" i="38"/>
  <c r="C130" i="36" s="1"/>
  <c r="F130" i="36" s="1"/>
  <c r="G130" i="36" s="1"/>
  <c r="H22" i="38"/>
  <c r="C125" i="40" s="1"/>
  <c r="F125" i="40" s="1"/>
  <c r="L37" i="38"/>
  <c r="N37" i="38"/>
  <c r="D155" i="40" s="1"/>
  <c r="L116" i="38"/>
  <c r="D88" i="36" s="1"/>
  <c r="N116" i="38"/>
  <c r="D71" i="40" s="1"/>
  <c r="H36" i="38"/>
  <c r="C20" i="40" s="1"/>
  <c r="F20" i="40" s="1"/>
  <c r="F88" i="38"/>
  <c r="C31" i="36" s="1"/>
  <c r="F31" i="36" s="1"/>
  <c r="G31" i="36" s="1"/>
  <c r="E8" i="38"/>
  <c r="F28" i="43" s="1"/>
  <c r="D28" i="43"/>
  <c r="E28" i="43" s="1"/>
  <c r="F46" i="38"/>
  <c r="C134" i="36" s="1"/>
  <c r="F134" i="36" s="1"/>
  <c r="G134" i="36" s="1"/>
  <c r="L39" i="38"/>
  <c r="D170" i="36" s="1"/>
  <c r="N39" i="38"/>
  <c r="D170" i="40" s="1"/>
  <c r="L72" i="38"/>
  <c r="D155" i="36" s="1"/>
  <c r="N72" i="38"/>
  <c r="D147" i="40" s="1"/>
  <c r="L164" i="38"/>
  <c r="D91" i="36" s="1"/>
  <c r="N164" i="38"/>
  <c r="D43" i="40" s="1"/>
  <c r="F132" i="40"/>
  <c r="F69" i="36"/>
  <c r="G69" i="36" s="1"/>
  <c r="H44" i="38"/>
  <c r="C93" i="40" s="1"/>
  <c r="F93" i="40" s="1"/>
  <c r="F87" i="38"/>
  <c r="C107" i="36" s="1"/>
  <c r="F107" i="36" s="1"/>
  <c r="G107" i="36" s="1"/>
  <c r="F56" i="40"/>
  <c r="L97" i="38"/>
  <c r="D111" i="36" s="1"/>
  <c r="N97" i="38"/>
  <c r="D25" i="40" s="1"/>
  <c r="E90" i="43"/>
  <c r="F100" i="36"/>
  <c r="G100" i="36" s="1"/>
  <c r="F60" i="36"/>
  <c r="G60" i="36" s="1"/>
  <c r="E153" i="43"/>
  <c r="F161" i="36"/>
  <c r="G161" i="36" s="1"/>
  <c r="F104" i="36"/>
  <c r="G104" i="36" s="1"/>
  <c r="D135" i="36"/>
  <c r="F60" i="38"/>
  <c r="H60" i="38"/>
  <c r="F28" i="38"/>
  <c r="H28" i="38"/>
  <c r="H79" i="38"/>
  <c r="F79" i="38"/>
  <c r="H110" i="38"/>
  <c r="F110" i="38"/>
  <c r="H26" i="38"/>
  <c r="F26" i="38"/>
  <c r="H42" i="38"/>
  <c r="F42" i="38"/>
  <c r="F20" i="38"/>
  <c r="H20" i="38"/>
  <c r="F105" i="38"/>
  <c r="H105" i="38"/>
  <c r="C147" i="36"/>
  <c r="F147" i="36" s="1"/>
  <c r="G147" i="36" s="1"/>
  <c r="H23" i="38"/>
  <c r="F23" i="38"/>
  <c r="H61" i="38"/>
  <c r="F61" i="38"/>
  <c r="H11" i="38"/>
  <c r="F11" i="38"/>
  <c r="H25" i="38"/>
  <c r="F25" i="38"/>
  <c r="F64" i="38"/>
  <c r="C8" i="36" s="1"/>
  <c r="H64" i="38"/>
  <c r="F115" i="38"/>
  <c r="H115" i="38"/>
  <c r="F133" i="38"/>
  <c r="H133" i="38"/>
  <c r="C47" i="36"/>
  <c r="F47" i="36" s="1"/>
  <c r="G47" i="36" s="1"/>
  <c r="H150" i="38"/>
  <c r="F150" i="38"/>
  <c r="C44" i="40"/>
  <c r="F44" i="40" s="1"/>
  <c r="H73" i="38"/>
  <c r="F73" i="38"/>
  <c r="H154" i="38"/>
  <c r="F154" i="38"/>
  <c r="H33" i="38"/>
  <c r="F33" i="38"/>
  <c r="F135" i="38"/>
  <c r="H135" i="38"/>
  <c r="F155" i="38"/>
  <c r="H155" i="38"/>
  <c r="H83" i="38"/>
  <c r="F83" i="38"/>
  <c r="C157" i="40"/>
  <c r="F157" i="40" s="1"/>
  <c r="F169" i="38"/>
  <c r="H169" i="38"/>
  <c r="C142" i="40"/>
  <c r="F142" i="40" s="1"/>
  <c r="C164" i="40"/>
  <c r="F164" i="40" s="1"/>
  <c r="H29" i="38"/>
  <c r="F29" i="38"/>
  <c r="F137" i="38"/>
  <c r="H137" i="38"/>
  <c r="H49" i="38"/>
  <c r="F49" i="38"/>
  <c r="F161" i="38"/>
  <c r="H161" i="38"/>
  <c r="F108" i="38"/>
  <c r="H108" i="38"/>
  <c r="H77" i="38"/>
  <c r="F77" i="38"/>
  <c r="F78" i="38"/>
  <c r="H78" i="38"/>
  <c r="H95" i="38"/>
  <c r="F95" i="38"/>
  <c r="H27" i="38"/>
  <c r="F27" i="38"/>
  <c r="C13" i="36" s="1"/>
  <c r="F141" i="38"/>
  <c r="H141" i="38"/>
  <c r="F153" i="38"/>
  <c r="H153" i="38"/>
  <c r="F131" i="38"/>
  <c r="H131" i="38"/>
  <c r="H85" i="38"/>
  <c r="F85" i="38"/>
  <c r="H168" i="38"/>
  <c r="F168" i="38"/>
  <c r="F163" i="38"/>
  <c r="H163" i="38"/>
  <c r="C63" i="40"/>
  <c r="F63" i="40" s="1"/>
  <c r="C146" i="40"/>
  <c r="F146" i="40" s="1"/>
  <c r="F113" i="38"/>
  <c r="H113" i="38"/>
  <c r="C36" i="36"/>
  <c r="F36" i="36" s="1"/>
  <c r="G36" i="36" s="1"/>
  <c r="F147" i="38"/>
  <c r="H147" i="38"/>
  <c r="F140" i="38"/>
  <c r="H140" i="38"/>
  <c r="H93" i="38"/>
  <c r="F93" i="38"/>
  <c r="F160" i="38"/>
  <c r="H160" i="38"/>
  <c r="H103" i="38"/>
  <c r="F103" i="38"/>
  <c r="C70" i="40"/>
  <c r="F70" i="40" s="1"/>
  <c r="H91" i="38"/>
  <c r="F91" i="38"/>
  <c r="F123" i="38"/>
  <c r="H123" i="38"/>
  <c r="F82" i="38"/>
  <c r="H82" i="38"/>
  <c r="F167" i="38"/>
  <c r="H167" i="38"/>
  <c r="H146" i="38"/>
  <c r="F146" i="38"/>
  <c r="H45" i="38"/>
  <c r="F45" i="38"/>
  <c r="F145" i="38"/>
  <c r="H145" i="38"/>
  <c r="H112" i="38"/>
  <c r="F112" i="38"/>
  <c r="C61" i="36"/>
  <c r="F61" i="36" s="1"/>
  <c r="G61" i="36" s="1"/>
  <c r="F144" i="38"/>
  <c r="H144" i="38"/>
  <c r="H142" i="38"/>
  <c r="F142" i="38"/>
  <c r="C20" i="36"/>
  <c r="F20" i="36" s="1"/>
  <c r="G20" i="36" s="1"/>
  <c r="F62" i="38"/>
  <c r="H62" i="38"/>
  <c r="H75" i="38"/>
  <c r="F75" i="38"/>
  <c r="F165" i="38"/>
  <c r="H165" i="38"/>
  <c r="F127" i="38"/>
  <c r="H127" i="38"/>
  <c r="H170" i="38"/>
  <c r="F170" i="38"/>
  <c r="H134" i="38"/>
  <c r="F134" i="38"/>
  <c r="F111" i="38"/>
  <c r="H111" i="38"/>
  <c r="H67" i="38"/>
  <c r="F67" i="38"/>
  <c r="F66" i="38"/>
  <c r="H66" i="38"/>
  <c r="H120" i="38"/>
  <c r="F120" i="38"/>
  <c r="C15" i="36" s="1"/>
  <c r="F18" i="38"/>
  <c r="H18" i="38"/>
  <c r="H130" i="38"/>
  <c r="F130" i="38"/>
  <c r="C14" i="36" s="1"/>
  <c r="F119" i="38"/>
  <c r="H119" i="38"/>
  <c r="C30" i="36"/>
  <c r="F30" i="36" s="1"/>
  <c r="G30" i="36" s="1"/>
  <c r="C141" i="36"/>
  <c r="F141" i="36" s="1"/>
  <c r="G141" i="36" s="1"/>
  <c r="C34" i="36"/>
  <c r="F34" i="36" s="1"/>
  <c r="G34" i="36" s="1"/>
  <c r="H65" i="38"/>
  <c r="F65" i="38"/>
  <c r="H118" i="38"/>
  <c r="F118" i="38"/>
  <c r="F10" i="38"/>
  <c r="C12" i="36" s="1"/>
  <c r="H10" i="38"/>
  <c r="F164" i="38"/>
  <c r="H164" i="38"/>
  <c r="F125" i="38"/>
  <c r="H125" i="38"/>
  <c r="F50" i="38"/>
  <c r="H50" i="38"/>
  <c r="H71" i="38"/>
  <c r="F71" i="38"/>
  <c r="C102" i="36"/>
  <c r="F102" i="36" s="1"/>
  <c r="G102" i="36" s="1"/>
  <c r="H156" i="38"/>
  <c r="F156" i="38"/>
  <c r="F94" i="38"/>
  <c r="H94" i="38"/>
  <c r="H13" i="38"/>
  <c r="F13" i="38"/>
  <c r="H37" i="38"/>
  <c r="F37" i="38"/>
  <c r="H132" i="38"/>
  <c r="F132" i="38"/>
  <c r="H39" i="38"/>
  <c r="F39" i="38"/>
  <c r="F159" i="38"/>
  <c r="H159" i="38"/>
  <c r="F47" i="38"/>
  <c r="H47" i="38"/>
  <c r="F149" i="38"/>
  <c r="H149" i="38"/>
  <c r="C19" i="36"/>
  <c r="F19" i="36" s="1"/>
  <c r="G19" i="36" s="1"/>
  <c r="H19" i="38"/>
  <c r="F19" i="38"/>
  <c r="H17" i="38"/>
  <c r="F17" i="38"/>
  <c r="F90" i="38"/>
  <c r="H90" i="38"/>
  <c r="F76" i="38"/>
  <c r="H76" i="38"/>
  <c r="H97" i="38"/>
  <c r="F97" i="38"/>
  <c r="H116" i="38"/>
  <c r="F116" i="38"/>
  <c r="F143" i="38"/>
  <c r="H143" i="38"/>
  <c r="F35" i="38"/>
  <c r="H35" i="38"/>
  <c r="H158" i="38"/>
  <c r="F158" i="38"/>
  <c r="H21" i="38"/>
  <c r="F21" i="38"/>
  <c r="F107" i="38"/>
  <c r="H107" i="38"/>
  <c r="F98" i="38"/>
  <c r="H98" i="38"/>
  <c r="F151" i="38"/>
  <c r="C10" i="36" s="1"/>
  <c r="H151" i="38"/>
  <c r="H166" i="38"/>
  <c r="F166" i="38"/>
  <c r="F109" i="38"/>
  <c r="H109" i="38"/>
  <c r="C75" i="36"/>
  <c r="F75" i="36" s="1"/>
  <c r="G75" i="36" s="1"/>
  <c r="H63" i="38"/>
  <c r="F63" i="38"/>
  <c r="H9" i="38"/>
  <c r="F9" i="38"/>
  <c r="H15" i="38"/>
  <c r="F15" i="38"/>
  <c r="F117" i="38"/>
  <c r="H117" i="38"/>
  <c r="H99" i="38"/>
  <c r="F99" i="38"/>
  <c r="H136" i="38"/>
  <c r="F136" i="38"/>
  <c r="H43" i="38"/>
  <c r="F43" i="38"/>
  <c r="F96" i="38"/>
  <c r="H96" i="38"/>
  <c r="C18" i="40"/>
  <c r="F18" i="40" s="1"/>
  <c r="H69" i="38"/>
  <c r="F69" i="38"/>
  <c r="H126" i="38"/>
  <c r="F126" i="38"/>
  <c r="C144" i="36"/>
  <c r="F144" i="36" s="1"/>
  <c r="G144" i="36" s="1"/>
  <c r="C24" i="40"/>
  <c r="F24" i="40" s="1"/>
  <c r="H53" i="38"/>
  <c r="F53" i="38"/>
  <c r="H101" i="38"/>
  <c r="F101" i="38"/>
  <c r="F157" i="38"/>
  <c r="H157" i="38"/>
  <c r="H162" i="38"/>
  <c r="F162" i="38"/>
  <c r="F121" i="38"/>
  <c r="H121" i="38"/>
  <c r="H89" i="38"/>
  <c r="F89" i="38"/>
  <c r="H59" i="38"/>
  <c r="F59" i="38"/>
  <c r="F80" i="38"/>
  <c r="H80" i="38"/>
  <c r="H128" i="38"/>
  <c r="F128" i="38"/>
  <c r="H31" i="38"/>
  <c r="F31" i="38"/>
  <c r="F106" i="38"/>
  <c r="H106" i="38"/>
  <c r="H148" i="38"/>
  <c r="F148" i="38"/>
  <c r="H51" i="38"/>
  <c r="F51" i="38"/>
  <c r="C12" i="40"/>
  <c r="F12" i="40" s="1"/>
  <c r="C31" i="40"/>
  <c r="F31" i="40" s="1"/>
  <c r="E171" i="26"/>
  <c r="E166" i="26"/>
  <c r="F163" i="26"/>
  <c r="E163" i="26"/>
  <c r="F134" i="40" l="1"/>
  <c r="C9" i="36"/>
  <c r="F9" i="36" s="1"/>
  <c r="G9" i="36" s="1"/>
  <c r="C11" i="36"/>
  <c r="F11" i="36" s="1"/>
  <c r="G11" i="36" s="1"/>
  <c r="F8" i="38"/>
  <c r="C24" i="36" s="1"/>
  <c r="F24" i="36" s="1"/>
  <c r="G24" i="36" s="1"/>
  <c r="F147" i="40"/>
  <c r="H8" i="38"/>
  <c r="C40" i="40" s="1"/>
  <c r="F40" i="40" s="1"/>
  <c r="F155" i="36"/>
  <c r="G155" i="36" s="1"/>
  <c r="C120" i="40"/>
  <c r="F120" i="40" s="1"/>
  <c r="C33" i="36"/>
  <c r="F33" i="36" s="1"/>
  <c r="G33" i="36" s="1"/>
  <c r="C149" i="36"/>
  <c r="F149" i="36" s="1"/>
  <c r="G149" i="36" s="1"/>
  <c r="C129" i="36"/>
  <c r="F129" i="36" s="1"/>
  <c r="G129" i="36" s="1"/>
  <c r="C106" i="40"/>
  <c r="F106" i="40" s="1"/>
  <c r="C125" i="36"/>
  <c r="F125" i="36" s="1"/>
  <c r="G125" i="36" s="1"/>
  <c r="C140" i="36"/>
  <c r="F140" i="36" s="1"/>
  <c r="G140" i="36" s="1"/>
  <c r="C148" i="40"/>
  <c r="F148" i="40" s="1"/>
  <c r="C28" i="40"/>
  <c r="F28" i="40" s="1"/>
  <c r="C85" i="36"/>
  <c r="F85" i="36" s="1"/>
  <c r="G85" i="36" s="1"/>
  <c r="C43" i="40"/>
  <c r="F43" i="40" s="1"/>
  <c r="C23" i="40"/>
  <c r="F23" i="40" s="1"/>
  <c r="C154" i="40"/>
  <c r="F154" i="40" s="1"/>
  <c r="C99" i="40"/>
  <c r="F99" i="40" s="1"/>
  <c r="C38" i="40"/>
  <c r="F38" i="40" s="1"/>
  <c r="C117" i="36"/>
  <c r="F117" i="36" s="1"/>
  <c r="G117" i="36" s="1"/>
  <c r="C86" i="40"/>
  <c r="F86" i="40" s="1"/>
  <c r="C32" i="36"/>
  <c r="F32" i="36" s="1"/>
  <c r="G32" i="36" s="1"/>
  <c r="C13" i="40"/>
  <c r="F13" i="40" s="1"/>
  <c r="C113" i="40"/>
  <c r="F113" i="40" s="1"/>
  <c r="C42" i="36"/>
  <c r="F42" i="36" s="1"/>
  <c r="G42" i="36" s="1"/>
  <c r="C162" i="40"/>
  <c r="F162" i="40" s="1"/>
  <c r="C58" i="36"/>
  <c r="F58" i="36" s="1"/>
  <c r="G58" i="36" s="1"/>
  <c r="C92" i="40"/>
  <c r="F92" i="40" s="1"/>
  <c r="C162" i="36"/>
  <c r="F162" i="36" s="1"/>
  <c r="G162" i="36" s="1"/>
  <c r="C41" i="36"/>
  <c r="F41" i="36" s="1"/>
  <c r="G41" i="36" s="1"/>
  <c r="C150" i="40"/>
  <c r="F150" i="40" s="1"/>
  <c r="C35" i="40"/>
  <c r="F35" i="40" s="1"/>
  <c r="C138" i="40"/>
  <c r="F138" i="40" s="1"/>
  <c r="C41" i="40"/>
  <c r="F41" i="40" s="1"/>
  <c r="C138" i="36"/>
  <c r="F138" i="36" s="1"/>
  <c r="G138" i="36" s="1"/>
  <c r="C141" i="40"/>
  <c r="F141" i="40" s="1"/>
  <c r="C71" i="40"/>
  <c r="F71" i="40" s="1"/>
  <c r="C144" i="40"/>
  <c r="F144" i="40" s="1"/>
  <c r="C151" i="36"/>
  <c r="F151" i="36" s="1"/>
  <c r="G151" i="36" s="1"/>
  <c r="C72" i="40"/>
  <c r="F72" i="40" s="1"/>
  <c r="C58" i="40"/>
  <c r="F58" i="40" s="1"/>
  <c r="C126" i="36"/>
  <c r="F126" i="36" s="1"/>
  <c r="G126" i="36" s="1"/>
  <c r="C91" i="36"/>
  <c r="F91" i="36" s="1"/>
  <c r="G91" i="36" s="1"/>
  <c r="C110" i="36"/>
  <c r="F110" i="36" s="1"/>
  <c r="G110" i="36" s="1"/>
  <c r="C39" i="36"/>
  <c r="F39" i="36" s="1"/>
  <c r="G39" i="36" s="1"/>
  <c r="C146" i="36"/>
  <c r="F146" i="36" s="1"/>
  <c r="G146" i="36" s="1"/>
  <c r="C108" i="40"/>
  <c r="F108" i="40" s="1"/>
  <c r="C98" i="40"/>
  <c r="F98" i="40" s="1"/>
  <c r="C43" i="36"/>
  <c r="F43" i="36" s="1"/>
  <c r="G43" i="36" s="1"/>
  <c r="C124" i="40"/>
  <c r="F124" i="40" s="1"/>
  <c r="C67" i="36"/>
  <c r="F67" i="36" s="1"/>
  <c r="G67" i="36" s="1"/>
  <c r="C123" i="36"/>
  <c r="F123" i="36" s="1"/>
  <c r="G123" i="36" s="1"/>
  <c r="C44" i="36"/>
  <c r="F44" i="36" s="1"/>
  <c r="G44" i="36" s="1"/>
  <c r="C112" i="36"/>
  <c r="F112" i="36" s="1"/>
  <c r="G112" i="36" s="1"/>
  <c r="C156" i="36"/>
  <c r="F156" i="36" s="1"/>
  <c r="G156" i="36" s="1"/>
  <c r="C66" i="40"/>
  <c r="F66" i="40" s="1"/>
  <c r="C74" i="40"/>
  <c r="F74" i="40" s="1"/>
  <c r="C131" i="36"/>
  <c r="F131" i="36" s="1"/>
  <c r="G131" i="36" s="1"/>
  <c r="C66" i="36"/>
  <c r="F66" i="36" s="1"/>
  <c r="G66" i="36" s="1"/>
  <c r="C118" i="40"/>
  <c r="F118" i="40" s="1"/>
  <c r="C85" i="40"/>
  <c r="F85" i="40" s="1"/>
  <c r="C55" i="40"/>
  <c r="F55" i="40" s="1"/>
  <c r="C108" i="36"/>
  <c r="F108" i="36" s="1"/>
  <c r="G108" i="36" s="1"/>
  <c r="C152" i="40"/>
  <c r="F152" i="40" s="1"/>
  <c r="C111" i="40"/>
  <c r="F111" i="40" s="1"/>
  <c r="C59" i="36"/>
  <c r="F59" i="36" s="1"/>
  <c r="G59" i="36" s="1"/>
  <c r="C165" i="40"/>
  <c r="F165" i="40" s="1"/>
  <c r="C67" i="40"/>
  <c r="F67" i="40" s="1"/>
  <c r="C38" i="36"/>
  <c r="F38" i="36" s="1"/>
  <c r="G38" i="36" s="1"/>
  <c r="C46" i="36"/>
  <c r="F46" i="36" s="1"/>
  <c r="G46" i="36" s="1"/>
  <c r="C68" i="36"/>
  <c r="F68" i="36" s="1"/>
  <c r="G68" i="36" s="1"/>
  <c r="C52" i="40"/>
  <c r="F52" i="40" s="1"/>
  <c r="C160" i="40"/>
  <c r="F160" i="40" s="1"/>
  <c r="C69" i="40"/>
  <c r="F69" i="40" s="1"/>
  <c r="C139" i="36"/>
  <c r="F139" i="36" s="1"/>
  <c r="G139" i="36" s="1"/>
  <c r="C28" i="36"/>
  <c r="F28" i="36" s="1"/>
  <c r="G28" i="36" s="1"/>
  <c r="C65" i="36"/>
  <c r="F65" i="36" s="1"/>
  <c r="G65" i="36" s="1"/>
  <c r="C128" i="36"/>
  <c r="F128" i="36" s="1"/>
  <c r="G128" i="36" s="1"/>
  <c r="C53" i="36"/>
  <c r="F53" i="36" s="1"/>
  <c r="G53" i="36" s="1"/>
  <c r="C35" i="36"/>
  <c r="F35" i="36" s="1"/>
  <c r="G35" i="36" s="1"/>
  <c r="C101" i="40"/>
  <c r="F101" i="40" s="1"/>
  <c r="C36" i="40"/>
  <c r="F36" i="40" s="1"/>
  <c r="C91" i="40"/>
  <c r="F91" i="40" s="1"/>
  <c r="C81" i="36"/>
  <c r="F81" i="36" s="1"/>
  <c r="G81" i="36" s="1"/>
  <c r="C79" i="40"/>
  <c r="F79" i="40" s="1"/>
  <c r="C111" i="36"/>
  <c r="F111" i="36" s="1"/>
  <c r="G111" i="36" s="1"/>
  <c r="C95" i="40"/>
  <c r="F95" i="40" s="1"/>
  <c r="C25" i="36"/>
  <c r="F25" i="36" s="1"/>
  <c r="G25" i="36" s="1"/>
  <c r="C34" i="40"/>
  <c r="F34" i="40" s="1"/>
  <c r="C170" i="36"/>
  <c r="F170" i="36" s="1"/>
  <c r="G170" i="36" s="1"/>
  <c r="C135" i="36"/>
  <c r="F135" i="36" s="1"/>
  <c r="G135" i="36" s="1"/>
  <c r="C149" i="40"/>
  <c r="F149" i="40" s="1"/>
  <c r="C99" i="36"/>
  <c r="F99" i="36" s="1"/>
  <c r="G99" i="36" s="1"/>
  <c r="C117" i="40"/>
  <c r="F117" i="40" s="1"/>
  <c r="C15" i="40"/>
  <c r="F15" i="40" s="1"/>
  <c r="C106" i="36"/>
  <c r="F106" i="36" s="1"/>
  <c r="G106" i="36" s="1"/>
  <c r="F14" i="36"/>
  <c r="G14" i="36" s="1"/>
  <c r="F15" i="36"/>
  <c r="G15" i="36" s="1"/>
  <c r="C94" i="36"/>
  <c r="F94" i="36" s="1"/>
  <c r="G94" i="36" s="1"/>
  <c r="C119" i="36"/>
  <c r="F119" i="36" s="1"/>
  <c r="G119" i="36" s="1"/>
  <c r="C104" i="40"/>
  <c r="F104" i="40" s="1"/>
  <c r="C21" i="40"/>
  <c r="F21" i="40" s="1"/>
  <c r="C78" i="36"/>
  <c r="F78" i="36" s="1"/>
  <c r="G78" i="36" s="1"/>
  <c r="C164" i="36"/>
  <c r="F164" i="36" s="1"/>
  <c r="G164" i="36" s="1"/>
  <c r="C71" i="36"/>
  <c r="F71" i="36" s="1"/>
  <c r="G71" i="36" s="1"/>
  <c r="C151" i="40"/>
  <c r="F151" i="40" s="1"/>
  <c r="C107" i="40"/>
  <c r="F107" i="40" s="1"/>
  <c r="C97" i="40"/>
  <c r="F97" i="40" s="1"/>
  <c r="C45" i="40"/>
  <c r="F45" i="40" s="1"/>
  <c r="C159" i="40"/>
  <c r="F159" i="40" s="1"/>
  <c r="C129" i="40"/>
  <c r="F129" i="40" s="1"/>
  <c r="C121" i="36"/>
  <c r="F121" i="36" s="1"/>
  <c r="G121" i="36" s="1"/>
  <c r="C54" i="40"/>
  <c r="F54" i="40" s="1"/>
  <c r="F13" i="36"/>
  <c r="G13" i="36" s="1"/>
  <c r="C62" i="36"/>
  <c r="F62" i="36" s="1"/>
  <c r="G62" i="36" s="1"/>
  <c r="C169" i="40"/>
  <c r="F169" i="40" s="1"/>
  <c r="C75" i="40"/>
  <c r="F75" i="40" s="1"/>
  <c r="C86" i="36"/>
  <c r="F86" i="36" s="1"/>
  <c r="G86" i="36" s="1"/>
  <c r="C76" i="40"/>
  <c r="F76" i="40" s="1"/>
  <c r="C21" i="36"/>
  <c r="F21" i="36" s="1"/>
  <c r="G21" i="36" s="1"/>
  <c r="C89" i="40"/>
  <c r="F89" i="40" s="1"/>
  <c r="C8" i="40"/>
  <c r="F8" i="40" s="1"/>
  <c r="C142" i="36"/>
  <c r="F142" i="36" s="1"/>
  <c r="G142" i="36" s="1"/>
  <c r="C133" i="36"/>
  <c r="F133" i="36" s="1"/>
  <c r="G133" i="36" s="1"/>
  <c r="C122" i="40"/>
  <c r="F122" i="40" s="1"/>
  <c r="C169" i="36"/>
  <c r="F169" i="36" s="1"/>
  <c r="G169" i="36" s="1"/>
  <c r="C159" i="36"/>
  <c r="F159" i="36" s="1"/>
  <c r="G159" i="36" s="1"/>
  <c r="C126" i="40"/>
  <c r="F126" i="40" s="1"/>
  <c r="C137" i="36"/>
  <c r="F137" i="36" s="1"/>
  <c r="G137" i="36" s="1"/>
  <c r="C158" i="36"/>
  <c r="F158" i="36" s="1"/>
  <c r="G158" i="36" s="1"/>
  <c r="C120" i="36"/>
  <c r="F120" i="36" s="1"/>
  <c r="G120" i="36" s="1"/>
  <c r="C166" i="36"/>
  <c r="F166" i="36" s="1"/>
  <c r="G166" i="36" s="1"/>
  <c r="C102" i="40"/>
  <c r="F102" i="40" s="1"/>
  <c r="C70" i="36"/>
  <c r="F70" i="36" s="1"/>
  <c r="G70" i="36" s="1"/>
  <c r="C83" i="36"/>
  <c r="F83" i="36" s="1"/>
  <c r="G83" i="36" s="1"/>
  <c r="C22" i="40"/>
  <c r="F22" i="40" s="1"/>
  <c r="C68" i="40"/>
  <c r="F68" i="40" s="1"/>
  <c r="C88" i="36"/>
  <c r="F88" i="36" s="1"/>
  <c r="G88" i="36" s="1"/>
  <c r="C124" i="36"/>
  <c r="F124" i="36" s="1"/>
  <c r="G124" i="36" s="1"/>
  <c r="C167" i="40"/>
  <c r="F167" i="40" s="1"/>
  <c r="C167" i="36"/>
  <c r="F167" i="36" s="1"/>
  <c r="G167" i="36" s="1"/>
  <c r="C97" i="36"/>
  <c r="F97" i="36" s="1"/>
  <c r="G97" i="36" s="1"/>
  <c r="C11" i="40"/>
  <c r="F11" i="40" s="1"/>
  <c r="C56" i="36"/>
  <c r="F56" i="36" s="1"/>
  <c r="G56" i="36" s="1"/>
  <c r="C65" i="40"/>
  <c r="F65" i="40" s="1"/>
  <c r="C49" i="40"/>
  <c r="F49" i="40" s="1"/>
  <c r="C57" i="36"/>
  <c r="F57" i="36" s="1"/>
  <c r="G57" i="36" s="1"/>
  <c r="C109" i="36"/>
  <c r="F109" i="36" s="1"/>
  <c r="G109" i="36" s="1"/>
  <c r="C83" i="40"/>
  <c r="F83" i="40" s="1"/>
  <c r="C32" i="40"/>
  <c r="F32" i="40" s="1"/>
  <c r="C72" i="36"/>
  <c r="F72" i="36" s="1"/>
  <c r="G72" i="36" s="1"/>
  <c r="C45" i="36"/>
  <c r="F45" i="36" s="1"/>
  <c r="G45" i="36" s="1"/>
  <c r="C113" i="36"/>
  <c r="F113" i="36" s="1"/>
  <c r="G113" i="36" s="1"/>
  <c r="C127" i="40"/>
  <c r="F127" i="40" s="1"/>
  <c r="C50" i="36"/>
  <c r="F50" i="36" s="1"/>
  <c r="G50" i="36" s="1"/>
  <c r="C90" i="40"/>
  <c r="F90" i="40" s="1"/>
  <c r="C76" i="36"/>
  <c r="F76" i="36" s="1"/>
  <c r="G76" i="36" s="1"/>
  <c r="C103" i="40"/>
  <c r="F103" i="40" s="1"/>
  <c r="C96" i="36"/>
  <c r="F96" i="36" s="1"/>
  <c r="G96" i="36" s="1"/>
  <c r="C26" i="36"/>
  <c r="F26" i="36" s="1"/>
  <c r="G26" i="36" s="1"/>
  <c r="C84" i="40"/>
  <c r="F84" i="40" s="1"/>
  <c r="C63" i="36"/>
  <c r="F63" i="36" s="1"/>
  <c r="G63" i="36" s="1"/>
  <c r="C136" i="36"/>
  <c r="F136" i="36" s="1"/>
  <c r="G136" i="36" s="1"/>
  <c r="C94" i="40"/>
  <c r="F94" i="40" s="1"/>
  <c r="C136" i="40"/>
  <c r="F136" i="40" s="1"/>
  <c r="C114" i="36"/>
  <c r="F114" i="36" s="1"/>
  <c r="G114" i="36" s="1"/>
  <c r="C57" i="40"/>
  <c r="F57" i="40" s="1"/>
  <c r="C121" i="40"/>
  <c r="F121" i="40" s="1"/>
  <c r="C166" i="40"/>
  <c r="F166" i="40" s="1"/>
  <c r="C157" i="36"/>
  <c r="F157" i="36" s="1"/>
  <c r="G157" i="36" s="1"/>
  <c r="C64" i="40"/>
  <c r="F64" i="40" s="1"/>
  <c r="C112" i="40"/>
  <c r="F112" i="40" s="1"/>
  <c r="C98" i="36"/>
  <c r="F98" i="36" s="1"/>
  <c r="G98" i="36" s="1"/>
  <c r="C29" i="36"/>
  <c r="F29" i="36" s="1"/>
  <c r="G29" i="36" s="1"/>
  <c r="C153" i="36"/>
  <c r="F153" i="36" s="1"/>
  <c r="G153" i="36" s="1"/>
  <c r="C27" i="36"/>
  <c r="F27" i="36" s="1"/>
  <c r="G27" i="36" s="1"/>
  <c r="C81" i="40"/>
  <c r="F81" i="40" s="1"/>
  <c r="C53" i="40"/>
  <c r="F53" i="40" s="1"/>
  <c r="C16" i="36"/>
  <c r="F16" i="36" s="1"/>
  <c r="G16" i="36" s="1"/>
  <c r="C14" i="40"/>
  <c r="F14" i="40" s="1"/>
  <c r="C93" i="36"/>
  <c r="F93" i="36" s="1"/>
  <c r="G93" i="36" s="1"/>
  <c r="C37" i="36"/>
  <c r="F37" i="36" s="1"/>
  <c r="G37" i="36" s="1"/>
  <c r="C52" i="36"/>
  <c r="F52" i="36" s="1"/>
  <c r="G52" i="36" s="1"/>
  <c r="C62" i="40"/>
  <c r="F62" i="40" s="1"/>
  <c r="C109" i="40"/>
  <c r="F109" i="40" s="1"/>
  <c r="C47" i="40"/>
  <c r="F47" i="40" s="1"/>
  <c r="C10" i="40"/>
  <c r="F10" i="40" s="1"/>
  <c r="C96" i="40"/>
  <c r="F96" i="40" s="1"/>
  <c r="C139" i="40"/>
  <c r="F139" i="40" s="1"/>
  <c r="C17" i="36"/>
  <c r="F17" i="36" s="1"/>
  <c r="G17" i="36" s="1"/>
  <c r="C163" i="36"/>
  <c r="F163" i="36" s="1"/>
  <c r="G163" i="36" s="1"/>
  <c r="C87" i="36"/>
  <c r="F87" i="36" s="1"/>
  <c r="G87" i="36" s="1"/>
  <c r="C156" i="40"/>
  <c r="F156" i="40" s="1"/>
  <c r="C9" i="40"/>
  <c r="F9" i="40" s="1"/>
  <c r="C140" i="40"/>
  <c r="F140" i="40" s="1"/>
  <c r="C131" i="40"/>
  <c r="F131" i="40" s="1"/>
  <c r="C119" i="40"/>
  <c r="F119" i="40" s="1"/>
  <c r="C46" i="40"/>
  <c r="F46" i="40" s="1"/>
  <c r="C74" i="36"/>
  <c r="F74" i="36" s="1"/>
  <c r="G74" i="36" s="1"/>
  <c r="F10" i="36"/>
  <c r="G10" i="36" s="1"/>
  <c r="C80" i="36"/>
  <c r="F80" i="36" s="1"/>
  <c r="G80" i="36" s="1"/>
  <c r="C78" i="40"/>
  <c r="F78" i="40" s="1"/>
  <c r="C48" i="36"/>
  <c r="F48" i="36" s="1"/>
  <c r="G48" i="36" s="1"/>
  <c r="C25" i="40"/>
  <c r="F25" i="40" s="1"/>
  <c r="C82" i="36"/>
  <c r="F82" i="36" s="1"/>
  <c r="G82" i="36" s="1"/>
  <c r="C33" i="40"/>
  <c r="F33" i="40" s="1"/>
  <c r="C40" i="36"/>
  <c r="F40" i="36" s="1"/>
  <c r="G40" i="36" s="1"/>
  <c r="C170" i="40"/>
  <c r="F170" i="40" s="1"/>
  <c r="C155" i="40"/>
  <c r="F155" i="40" s="1"/>
  <c r="C154" i="36"/>
  <c r="F154" i="36" s="1"/>
  <c r="G154" i="36" s="1"/>
  <c r="C50" i="40"/>
  <c r="F50" i="40" s="1"/>
  <c r="C73" i="36"/>
  <c r="F73" i="36" s="1"/>
  <c r="G73" i="36" s="1"/>
  <c r="F12" i="36"/>
  <c r="G12" i="36" s="1"/>
  <c r="C77" i="40"/>
  <c r="F77" i="40" s="1"/>
  <c r="C17" i="40"/>
  <c r="F17" i="40" s="1"/>
  <c r="C29" i="40"/>
  <c r="F29" i="40" s="1"/>
  <c r="C80" i="40"/>
  <c r="F80" i="40" s="1"/>
  <c r="C145" i="40"/>
  <c r="F145" i="40" s="1"/>
  <c r="C143" i="36"/>
  <c r="F143" i="36" s="1"/>
  <c r="G143" i="36" s="1"/>
  <c r="C18" i="36"/>
  <c r="F18" i="36" s="1"/>
  <c r="G18" i="36" s="1"/>
  <c r="C60" i="40"/>
  <c r="F60" i="40" s="1"/>
  <c r="C48" i="40"/>
  <c r="F48" i="40" s="1"/>
  <c r="C163" i="40"/>
  <c r="F163" i="40" s="1"/>
  <c r="C127" i="36"/>
  <c r="F127" i="36" s="1"/>
  <c r="G127" i="36" s="1"/>
  <c r="C132" i="36"/>
  <c r="F132" i="36" s="1"/>
  <c r="G132" i="36" s="1"/>
  <c r="C95" i="36"/>
  <c r="F95" i="36" s="1"/>
  <c r="G95" i="36" s="1"/>
  <c r="C90" i="36"/>
  <c r="F90" i="36" s="1"/>
  <c r="G90" i="36" s="1"/>
  <c r="C105" i="36"/>
  <c r="F105" i="36" s="1"/>
  <c r="G105" i="36" s="1"/>
  <c r="C145" i="36"/>
  <c r="F145" i="36" s="1"/>
  <c r="G145" i="36" s="1"/>
  <c r="C30" i="40"/>
  <c r="F30" i="40" s="1"/>
  <c r="C23" i="36"/>
  <c r="F23" i="36" s="1"/>
  <c r="G23" i="36" s="1"/>
  <c r="C26" i="40"/>
  <c r="F26" i="40" s="1"/>
  <c r="C42" i="40"/>
  <c r="F42" i="40" s="1"/>
  <c r="C150" i="36"/>
  <c r="F150" i="36" s="1"/>
  <c r="G150" i="36" s="1"/>
  <c r="C54" i="36"/>
  <c r="F54" i="36" s="1"/>
  <c r="G54" i="36" s="1"/>
  <c r="C133" i="40"/>
  <c r="F133" i="40" s="1"/>
  <c r="C148" i="36"/>
  <c r="F148" i="36" s="1"/>
  <c r="G148" i="36" s="1"/>
  <c r="C87" i="40"/>
  <c r="F87" i="40" s="1"/>
  <c r="C51" i="36"/>
  <c r="F51" i="36" s="1"/>
  <c r="G51" i="36" s="1"/>
  <c r="F8" i="36"/>
  <c r="G8" i="36" s="1"/>
  <c r="C158" i="40"/>
  <c r="F158" i="40" s="1"/>
  <c r="C73" i="40"/>
  <c r="F73" i="40" s="1"/>
  <c r="C101" i="36"/>
  <c r="F101" i="36" s="1"/>
  <c r="G101" i="36" s="1"/>
  <c r="C168" i="40"/>
  <c r="F168" i="40" s="1"/>
  <c r="C153" i="40"/>
  <c r="F153" i="40" s="1"/>
  <c r="C116" i="36"/>
  <c r="F116" i="36" s="1"/>
  <c r="G116" i="36" s="1"/>
  <c r="M11" i="26"/>
  <c r="C182" i="26" l="1"/>
  <c r="C179" i="26"/>
  <c r="P173" i="26"/>
  <c r="D193" i="26" s="1"/>
  <c r="L173" i="26"/>
  <c r="J173" i="26"/>
  <c r="H173" i="26"/>
  <c r="D173" i="26"/>
  <c r="C173" i="26"/>
  <c r="O173" i="26"/>
  <c r="K173" i="26"/>
  <c r="G173" i="26"/>
  <c r="N173" i="26"/>
  <c r="D184" i="26" s="1"/>
  <c r="M173" i="26"/>
  <c r="F173" i="26"/>
  <c r="E173" i="26"/>
  <c r="I173" i="26"/>
  <c r="G175" i="26" l="1"/>
  <c r="D190" i="26"/>
  <c r="K175" i="26"/>
  <c r="D187" i="26"/>
  <c r="E175" i="26"/>
  <c r="C190" i="26"/>
  <c r="C193" i="26"/>
  <c r="C194" i="26" s="1"/>
  <c r="O175" i="26"/>
  <c r="C184" i="26"/>
  <c r="C185" i="26" s="1"/>
  <c r="M175" i="26"/>
  <c r="I175" i="26"/>
  <c r="C187" i="26"/>
  <c r="C175" i="26"/>
  <c r="C188" i="26" l="1"/>
  <c r="C191" i="26"/>
  <c r="I164" i="11"/>
  <c r="I72" i="11"/>
  <c r="O115" i="11"/>
  <c r="K115" i="11"/>
  <c r="M115" i="11"/>
  <c r="I115" i="11"/>
  <c r="G115" i="11"/>
  <c r="E115" i="11"/>
  <c r="I119" i="11"/>
  <c r="I104" i="11"/>
  <c r="E108" i="11"/>
  <c r="I62" i="11"/>
  <c r="N114" i="11"/>
  <c r="M114" i="11"/>
  <c r="I114" i="11"/>
  <c r="F102" i="11"/>
  <c r="E102" i="11"/>
  <c r="I82" i="11"/>
  <c r="I59" i="11"/>
  <c r="I74" i="11"/>
  <c r="I71" i="11"/>
  <c r="I70" i="11"/>
  <c r="I69" i="11"/>
  <c r="I68" i="11"/>
  <c r="I66" i="11"/>
  <c r="I65" i="11"/>
  <c r="F65" i="11"/>
  <c r="E65" i="11"/>
  <c r="I64" i="11"/>
  <c r="N163" i="11"/>
  <c r="M163" i="11"/>
  <c r="F163" i="11"/>
  <c r="E163" i="11"/>
  <c r="M161" i="11"/>
  <c r="E161" i="11"/>
  <c r="I160" i="11"/>
  <c r="M158" i="11"/>
  <c r="I158" i="11"/>
  <c r="E158" i="11"/>
  <c r="I156" i="11"/>
  <c r="I155" i="11"/>
  <c r="I154" i="11"/>
  <c r="I152" i="11"/>
  <c r="I151" i="11"/>
  <c r="I149" i="11"/>
  <c r="E149" i="11"/>
  <c r="I147" i="11"/>
  <c r="E150" i="11"/>
  <c r="I146" i="11"/>
  <c r="E146" i="11"/>
  <c r="I139" i="11"/>
  <c r="I132" i="11"/>
  <c r="F132" i="11"/>
  <c r="E132" i="11"/>
  <c r="F130" i="11"/>
  <c r="E130" i="11"/>
  <c r="K126" i="11"/>
  <c r="G120" i="11"/>
  <c r="O120" i="11" l="1"/>
  <c r="P120" i="11"/>
  <c r="P175" i="11" s="1"/>
  <c r="D195" i="11" s="1"/>
  <c r="M120" i="11"/>
  <c r="K120" i="11"/>
  <c r="E120" i="11"/>
  <c r="E168" i="11"/>
  <c r="F165" i="11"/>
  <c r="E165" i="11"/>
  <c r="I52" i="11"/>
  <c r="I42" i="11"/>
  <c r="I22" i="11"/>
  <c r="I18" i="11"/>
  <c r="O175" i="11"/>
  <c r="O177" i="11" l="1"/>
  <c r="C195" i="11"/>
  <c r="C196" i="11" s="1"/>
  <c r="C175" i="11"/>
  <c r="E175" i="11"/>
  <c r="G175" i="11"/>
  <c r="D175" i="11"/>
  <c r="F175" i="11"/>
  <c r="H175" i="11"/>
  <c r="M175" i="11"/>
  <c r="I175" i="11"/>
  <c r="K175" i="11"/>
  <c r="N175" i="11"/>
  <c r="J175" i="11"/>
  <c r="L175" i="11"/>
  <c r="C181" i="11"/>
  <c r="C184" i="11"/>
  <c r="M177" i="11" l="1"/>
  <c r="D189" i="11"/>
  <c r="K177" i="11"/>
  <c r="C189" i="11"/>
  <c r="G177" i="11"/>
  <c r="E177" i="11"/>
  <c r="C192" i="11"/>
  <c r="D192" i="11"/>
  <c r="I177" i="11"/>
  <c r="C177" i="11"/>
  <c r="D186" i="11"/>
  <c r="C186" i="11"/>
  <c r="C190" i="11" l="1"/>
  <c r="C193" i="11"/>
  <c r="C187" i="11"/>
</calcChain>
</file>

<file path=xl/comments1.xml><?xml version="1.0" encoding="utf-8"?>
<comments xmlns="http://schemas.openxmlformats.org/spreadsheetml/2006/main">
  <authors>
    <author>DAFFLON Bernard</author>
  </authors>
  <commentList>
    <comment ref="B4" authorId="0">
      <text>
        <r>
          <rPr>
            <b/>
            <sz val="9"/>
            <color indexed="81"/>
            <rFont val="Tahoma"/>
            <charset val="1"/>
          </rPr>
          <t>DAFFLON Bernard:</t>
        </r>
        <r>
          <rPr>
            <sz val="9"/>
            <color indexed="81"/>
            <rFont val="Tahoma"/>
            <charset val="1"/>
          </rPr>
          <t xml:space="preserve">
De : Ballaman Gilles [mailto:Gilles.Ballaman@fr.ch] 
Envoyé : jeudi 22 mai 2014 17:16
À : DAFFLON Bernard
Objet : RE: péréquation
Bernard
1. J'ai modifié les données BES pour les communes fusionnées, à savoir ISB et montants à recevoir (onglet "B 6 Performance"). J'ai laissé le surlignage jaune pour ces 4 communes.
En ce qui concerne les montants à recevoir, il est évident qu'ils ne correspondent pas exactement à la somme des montants des communes ayant fusionné.
2. J'ai contrôlé par sondages l'ensemble des données reprises, elles sont correctes et sans décalage.
Demain j'attaque le cahier des charges et le contrôle de la matrice RESS.
Belle soirée à toi!
gilles
De : DAFFLON Bernard [mailto:bernard.dafflon@unifr.ch] 
Envoyé : mercredi 21 mai 2014 22:07
À : Ballaman Gilles
Objet : RE: péréquation
Gilles,
Je te fais parvenir en attachement la matrice préparée pour la mesure de performance des besoins.
Tu voudras bien faire les démarches suivantes :
1) Correction et re-calcul des ISB pour la commune d’Estavayer (fusion de Bussy) ; d’Ursy (fusion de Vuarmarens), Val de Charmey (fusion de Charmey et Cerniat) et Murten (fusion de Büchslen). Dans la matrice excel, les cases concernées sont surlignées en jaune. Ne rien toucher autrement, les corrections suivent automatiquement car j’ai fait les liens.
2) Quelques sondages pour vérifier si les chiffres reportés sont corrects. En principe, j’ai re-contrôlé le tout en reprenant chaque septième commune. Je les ai trouvées exactes et il n’y a pas de décalage. Donc ça devrait aller. Je te propose de vérifier, par exemple, chaque onzième commune (on prend 7ème ou 11ème parce que ce sont des nombres premiers – mais ne me demande pas pour quelle raison !).
Dans la matrice de Rapport de méthode. Dès que j’ai la réponse à 2) je le finis et te l’envoie pour suite.
Belle soirée.
Bernard
</t>
        </r>
      </text>
    </comment>
    <comment ref="C16" authorId="0">
      <text>
        <r>
          <rPr>
            <b/>
            <sz val="9"/>
            <color indexed="81"/>
            <rFont val="Tahoma"/>
            <family val="2"/>
          </rPr>
          <t>DAFFLON Bernard:</t>
        </r>
        <r>
          <rPr>
            <sz val="9"/>
            <color indexed="81"/>
            <rFont val="Tahoma"/>
            <family val="2"/>
          </rPr>
          <t xml:space="preserve">
la population légale de Font (fusion 2012) a été rajoutée</t>
        </r>
      </text>
    </comment>
    <comment ref="O16" authorId="0">
      <text>
        <r>
          <rPr>
            <b/>
            <sz val="9"/>
            <color indexed="81"/>
            <rFont val="Tahoma"/>
            <charset val="1"/>
          </rPr>
          <t>DAFFLON Bernard   01.09.2014:</t>
        </r>
        <r>
          <rPr>
            <sz val="9"/>
            <color indexed="81"/>
            <rFont val="Tahoma"/>
            <charset val="1"/>
          </rPr>
          <t xml:space="preserve">
pour les communes fusionnées, on a recalculé l'ISB, c'est-à-dire le nouvel indice qui résulte des caractéristiques des communes fusionnées. Par contre, pour le montant reçu au titre de péréquation, on a simplement fait l'addition des montants reçus par les anciennes communes - pour éviter que des changements (minimes) interviennent si on recalculait tous les indices à cause des fusions.</t>
        </r>
      </text>
    </comment>
    <comment ref="C51" authorId="0">
      <text>
        <r>
          <rPr>
            <b/>
            <sz val="9"/>
            <color indexed="81"/>
            <rFont val="Tahoma"/>
            <family val="2"/>
          </rPr>
          <t>DAFFLON Bernard:</t>
        </r>
        <r>
          <rPr>
            <sz val="9"/>
            <color indexed="81"/>
            <rFont val="Tahoma"/>
            <family val="2"/>
          </rPr>
          <t xml:space="preserve">
population légale de Vuarmarens ajoutée; fusion dès 2012</t>
        </r>
      </text>
    </comment>
    <comment ref="B81" authorId="0">
      <text>
        <r>
          <rPr>
            <b/>
            <sz val="9"/>
            <color indexed="81"/>
            <rFont val="Tahoma"/>
            <family val="2"/>
          </rPr>
          <t>DAFFLON Bernard:</t>
        </r>
        <r>
          <rPr>
            <sz val="9"/>
            <color indexed="81"/>
            <rFont val="Tahoma"/>
            <family val="2"/>
          </rPr>
          <t xml:space="preserve">
populations légales de Cerniat et Charmey; fusion dès 2014</t>
        </r>
      </text>
    </comment>
    <comment ref="B135" authorId="0">
      <text>
        <r>
          <rPr>
            <b/>
            <sz val="9"/>
            <color indexed="81"/>
            <rFont val="Tahoma"/>
            <family val="2"/>
          </rPr>
          <t>DAFFLON Bernard:</t>
        </r>
        <r>
          <rPr>
            <sz val="9"/>
            <color indexed="81"/>
            <rFont val="Tahoma"/>
            <family val="2"/>
          </rPr>
          <t xml:space="preserve">
population légale de Büchslen ajoutée; fusion dès 2013</t>
        </r>
      </text>
    </comment>
  </commentList>
</comments>
</file>

<file path=xl/comments2.xml><?xml version="1.0" encoding="utf-8"?>
<comments xmlns="http://schemas.openxmlformats.org/spreadsheetml/2006/main">
  <authors>
    <author>DAFFLON Bernard</author>
  </authors>
  <commentList>
    <comment ref="G4" authorId="0">
      <text>
        <r>
          <rPr>
            <b/>
            <sz val="9"/>
            <color indexed="81"/>
            <rFont val="Tahoma"/>
            <charset val="1"/>
          </rPr>
          <t>DAFFLON Bernard  01.09.2014:
p</t>
        </r>
        <r>
          <rPr>
            <sz val="9"/>
            <color indexed="81"/>
            <rFont val="Tahoma"/>
            <family val="2"/>
          </rPr>
          <t xml:space="preserve">otentiel fiscal par habitant, 2011, pour l'ensemble des communes, pour les huit impôts de référence. Voir Tableau 1 PF 2011 dans la péréquation des ressources
</t>
        </r>
      </text>
    </comment>
    <comment ref="G7" authorId="0">
      <text>
        <r>
          <rPr>
            <b/>
            <sz val="9"/>
            <color indexed="81"/>
            <rFont val="Tahoma"/>
            <family val="2"/>
          </rPr>
          <t>DAFFLON Bernard 15.06.2014:</t>
        </r>
        <r>
          <rPr>
            <sz val="9"/>
            <color indexed="81"/>
            <rFont val="Tahoma"/>
            <family val="2"/>
          </rPr>
          <t xml:space="preserve">
Il faut recalculer les IPF après les fusions de communes.
Le potentiel fiscal est celui des huit impôts 2011, et non pas l'IPF 2011 calculé sur les années 2007, 8 et 9. Référence: péréquation des ressources, Tableau T1 PF 2011</t>
        </r>
      </text>
    </comment>
    <comment ref="B81" authorId="0">
      <text>
        <r>
          <rPr>
            <b/>
            <sz val="9"/>
            <color indexed="81"/>
            <rFont val="Tahoma"/>
            <family val="2"/>
          </rPr>
          <t>DAFFLON Bernard:</t>
        </r>
        <r>
          <rPr>
            <sz val="9"/>
            <color indexed="81"/>
            <rFont val="Tahoma"/>
            <family val="2"/>
          </rPr>
          <t xml:space="preserve">
populations légales de Cerniat et Charmey; fusion dès 2014</t>
        </r>
      </text>
    </comment>
    <comment ref="B135" authorId="0">
      <text>
        <r>
          <rPr>
            <b/>
            <sz val="9"/>
            <color indexed="81"/>
            <rFont val="Tahoma"/>
            <family val="2"/>
          </rPr>
          <t>DAFFLON Bernard:</t>
        </r>
        <r>
          <rPr>
            <sz val="9"/>
            <color indexed="81"/>
            <rFont val="Tahoma"/>
            <family val="2"/>
          </rPr>
          <t xml:space="preserve">
population légale de Büchslen ajoutée; fusion dès 2013</t>
        </r>
      </text>
    </comment>
  </commentList>
</comments>
</file>

<file path=xl/comments3.xml><?xml version="1.0" encoding="utf-8"?>
<comments xmlns="http://schemas.openxmlformats.org/spreadsheetml/2006/main">
  <authors>
    <author>DAFFLON Bernard</author>
  </authors>
  <commentList>
    <comment ref="B32" authorId="0">
      <text>
        <r>
          <rPr>
            <b/>
            <sz val="9"/>
            <color indexed="81"/>
            <rFont val="Tahoma"/>
            <family val="2"/>
          </rPr>
          <t>DAFFLON Bernard:</t>
        </r>
        <r>
          <rPr>
            <sz val="9"/>
            <color indexed="81"/>
            <rFont val="Tahoma"/>
            <family val="2"/>
          </rPr>
          <t xml:space="preserve">
populations légales de Cerniat et Charmey; fusion dès 2014</t>
        </r>
      </text>
    </comment>
    <comment ref="B148" authorId="0">
      <text>
        <r>
          <rPr>
            <b/>
            <sz val="9"/>
            <color indexed="81"/>
            <rFont val="Tahoma"/>
            <family val="2"/>
          </rPr>
          <t>DAFFLON Bernard:</t>
        </r>
        <r>
          <rPr>
            <sz val="9"/>
            <color indexed="81"/>
            <rFont val="Tahoma"/>
            <family val="2"/>
          </rPr>
          <t xml:space="preserve">
population légale de Büchslen ajoutée; fusion dès 2013</t>
        </r>
      </text>
    </comment>
  </commentList>
</comments>
</file>

<file path=xl/comments4.xml><?xml version="1.0" encoding="utf-8"?>
<comments xmlns="http://schemas.openxmlformats.org/spreadsheetml/2006/main">
  <authors>
    <author>DAFFLON Bernard</author>
  </authors>
  <commentList>
    <comment ref="B34" authorId="0">
      <text>
        <r>
          <rPr>
            <b/>
            <sz val="9"/>
            <color indexed="81"/>
            <rFont val="Tahoma"/>
            <family val="2"/>
          </rPr>
          <t>DAFFLON Bernard:</t>
        </r>
        <r>
          <rPr>
            <sz val="9"/>
            <color indexed="81"/>
            <rFont val="Tahoma"/>
            <family val="2"/>
          </rPr>
          <t xml:space="preserve">
populations légales de Cerniat et Charmey; fusion dès 2014</t>
        </r>
      </text>
    </comment>
    <comment ref="B148" authorId="0">
      <text>
        <r>
          <rPr>
            <b/>
            <sz val="9"/>
            <color indexed="81"/>
            <rFont val="Tahoma"/>
            <family val="2"/>
          </rPr>
          <t>DAFFLON Bernard:</t>
        </r>
        <r>
          <rPr>
            <sz val="9"/>
            <color indexed="81"/>
            <rFont val="Tahoma"/>
            <family val="2"/>
          </rPr>
          <t xml:space="preserve">
population légale de Büchslen ajoutée; fusion dès 2013</t>
        </r>
      </text>
    </comment>
  </commentList>
</comments>
</file>

<file path=xl/comments5.xml><?xml version="1.0" encoding="utf-8"?>
<comments xmlns="http://schemas.openxmlformats.org/spreadsheetml/2006/main">
  <authors>
    <author>DAFFLON Bernard</author>
  </authors>
  <commentList>
    <comment ref="B31" authorId="0">
      <text>
        <r>
          <rPr>
            <b/>
            <sz val="9"/>
            <color indexed="81"/>
            <rFont val="Tahoma"/>
            <family val="2"/>
          </rPr>
          <t>DAFFLON Bernard:</t>
        </r>
        <r>
          <rPr>
            <sz val="9"/>
            <color indexed="81"/>
            <rFont val="Tahoma"/>
            <family val="2"/>
          </rPr>
          <t xml:space="preserve">
populations légales de Cerniat et Charmey; fusion dès 2014</t>
        </r>
      </text>
    </comment>
    <comment ref="B76" authorId="0">
      <text>
        <r>
          <rPr>
            <b/>
            <sz val="9"/>
            <color indexed="81"/>
            <rFont val="Tahoma"/>
            <family val="2"/>
          </rPr>
          <t>DAFFLON Bernard:</t>
        </r>
        <r>
          <rPr>
            <sz val="9"/>
            <color indexed="81"/>
            <rFont val="Tahoma"/>
            <family val="2"/>
          </rPr>
          <t xml:space="preserve">
population légale de Büchslen ajoutée; fusion dès 2013</t>
        </r>
      </text>
    </comment>
  </commentList>
</comments>
</file>

<file path=xl/sharedStrings.xml><?xml version="1.0" encoding="utf-8"?>
<sst xmlns="http://schemas.openxmlformats.org/spreadsheetml/2006/main" count="2090" uniqueCount="506">
  <si>
    <t>2004</t>
  </si>
  <si>
    <t>Bussy</t>
  </si>
  <si>
    <t>2005</t>
  </si>
  <si>
    <t>Châbles</t>
  </si>
  <si>
    <t>Châtillon</t>
  </si>
  <si>
    <t>2009</t>
  </si>
  <si>
    <t>Cheiry</t>
  </si>
  <si>
    <t>2010</t>
  </si>
  <si>
    <t>Cheyres</t>
  </si>
  <si>
    <t>2011</t>
  </si>
  <si>
    <t>Cugy</t>
  </si>
  <si>
    <t>2013</t>
  </si>
  <si>
    <t>Domdidier</t>
  </si>
  <si>
    <t>2014</t>
  </si>
  <si>
    <t>Dompierre</t>
  </si>
  <si>
    <t>2015</t>
  </si>
  <si>
    <t>Estavayer-le-Lac</t>
  </si>
  <si>
    <t>2016</t>
  </si>
  <si>
    <t>Fétigny</t>
  </si>
  <si>
    <t>2017</t>
  </si>
  <si>
    <t>Font</t>
  </si>
  <si>
    <t>2022</t>
  </si>
  <si>
    <t>Gletterens</t>
  </si>
  <si>
    <t>2024</t>
  </si>
  <si>
    <t>Léchelles</t>
  </si>
  <si>
    <t>2025</t>
  </si>
  <si>
    <t>Lully</t>
  </si>
  <si>
    <t>2027</t>
  </si>
  <si>
    <t>Ménières</t>
  </si>
  <si>
    <t>2029</t>
  </si>
  <si>
    <t>Montagny</t>
  </si>
  <si>
    <t>Les Montets</t>
  </si>
  <si>
    <t>2033</t>
  </si>
  <si>
    <t>Morens</t>
  </si>
  <si>
    <t>2034</t>
  </si>
  <si>
    <t>Murist</t>
  </si>
  <si>
    <t>2035</t>
  </si>
  <si>
    <t>Nuvilly</t>
  </si>
  <si>
    <t>2038</t>
  </si>
  <si>
    <t>Prévondavaux</t>
  </si>
  <si>
    <t>2039</t>
  </si>
  <si>
    <t>Rueyres-les-Prés</t>
  </si>
  <si>
    <t>2040</t>
  </si>
  <si>
    <t>Russy</t>
  </si>
  <si>
    <t>2041</t>
  </si>
  <si>
    <t>Saint-Aubin</t>
  </si>
  <si>
    <t>2043</t>
  </si>
  <si>
    <t>Sévaz</t>
  </si>
  <si>
    <t>2044</t>
  </si>
  <si>
    <t>Surpierre</t>
  </si>
  <si>
    <t>2045</t>
  </si>
  <si>
    <t>Vallon</t>
  </si>
  <si>
    <t>2047</t>
  </si>
  <si>
    <t>Villeneuve</t>
  </si>
  <si>
    <t>2049</t>
  </si>
  <si>
    <t>Vuissens</t>
  </si>
  <si>
    <t>2061</t>
  </si>
  <si>
    <t>Auboranges</t>
  </si>
  <si>
    <t>2063</t>
  </si>
  <si>
    <t>Billens-Hennens</t>
  </si>
  <si>
    <t>Chapelle (Glâne)</t>
  </si>
  <si>
    <t>2067</t>
  </si>
  <si>
    <t>Le Châtelard</t>
  </si>
  <si>
    <t>2068</t>
  </si>
  <si>
    <t>Châtonnaye</t>
  </si>
  <si>
    <t>2072</t>
  </si>
  <si>
    <t>Ecublens</t>
  </si>
  <si>
    <t>2079</t>
  </si>
  <si>
    <t>Grangettes</t>
  </si>
  <si>
    <t>2086</t>
  </si>
  <si>
    <t>Massonnens</t>
  </si>
  <si>
    <t>2087</t>
  </si>
  <si>
    <t>Mézières</t>
  </si>
  <si>
    <t>2089</t>
  </si>
  <si>
    <t>Montet (Glâne)</t>
  </si>
  <si>
    <t>2096</t>
  </si>
  <si>
    <t>Romont</t>
  </si>
  <si>
    <t>2097</t>
  </si>
  <si>
    <t>Rue</t>
  </si>
  <si>
    <t>2099</t>
  </si>
  <si>
    <t>Siviriez</t>
  </si>
  <si>
    <t>Torny</t>
  </si>
  <si>
    <t>2102</t>
  </si>
  <si>
    <t>Ursy</t>
  </si>
  <si>
    <t>2111</t>
  </si>
  <si>
    <t>Villaz-Saint-Pierre</t>
  </si>
  <si>
    <t>2112</t>
  </si>
  <si>
    <t>Vuarmarens</t>
  </si>
  <si>
    <t>2113</t>
  </si>
  <si>
    <t>Vuisternens-devant-Romont</t>
  </si>
  <si>
    <t>Villorsonnens</t>
  </si>
  <si>
    <t>2121</t>
  </si>
  <si>
    <t>Haut-Intyamon</t>
  </si>
  <si>
    <t>Pont-en-Ogoz</t>
  </si>
  <si>
    <t>2123</t>
  </si>
  <si>
    <t>Botterens</t>
  </si>
  <si>
    <t>2124</t>
  </si>
  <si>
    <t>Broc</t>
  </si>
  <si>
    <t>2125</t>
  </si>
  <si>
    <t>Bulle</t>
  </si>
  <si>
    <t>2126</t>
  </si>
  <si>
    <t>Cerniat</t>
  </si>
  <si>
    <t>2127</t>
  </si>
  <si>
    <t>Charmey</t>
  </si>
  <si>
    <t>2128</t>
  </si>
  <si>
    <t>Châtel-sur-Montsalvens</t>
  </si>
  <si>
    <t>2129</t>
  </si>
  <si>
    <t>Corbières</t>
  </si>
  <si>
    <t>2130</t>
  </si>
  <si>
    <t>Crésuz</t>
  </si>
  <si>
    <t>2131</t>
  </si>
  <si>
    <t>Echarlens</t>
  </si>
  <si>
    <t>Bas-Intyamon</t>
  </si>
  <si>
    <t>2134</t>
  </si>
  <si>
    <t>Grandvillard</t>
  </si>
  <si>
    <t>2135</t>
  </si>
  <si>
    <t>Gruyères</t>
  </si>
  <si>
    <t>2137</t>
  </si>
  <si>
    <t>Hauteville</t>
  </si>
  <si>
    <t>2138</t>
  </si>
  <si>
    <t>Jaun</t>
  </si>
  <si>
    <t>2140</t>
  </si>
  <si>
    <t>Marsens</t>
  </si>
  <si>
    <t>2143</t>
  </si>
  <si>
    <t>Morlon</t>
  </si>
  <si>
    <t>2145</t>
  </si>
  <si>
    <t>Le Pâquier</t>
  </si>
  <si>
    <t>2147</t>
  </si>
  <si>
    <t>Pont-la-Ville</t>
  </si>
  <si>
    <t>2148</t>
  </si>
  <si>
    <t>Riaz</t>
  </si>
  <si>
    <t>2149</t>
  </si>
  <si>
    <t>La Roche</t>
  </si>
  <si>
    <t>2152</t>
  </si>
  <si>
    <t>Sâles</t>
  </si>
  <si>
    <t>2153</t>
  </si>
  <si>
    <t>Sorens</t>
  </si>
  <si>
    <t>2155</t>
  </si>
  <si>
    <t>Vaulruz</t>
  </si>
  <si>
    <t>2160</t>
  </si>
  <si>
    <t>Vuadens</t>
  </si>
  <si>
    <t>2171</t>
  </si>
  <si>
    <t>Arconciel</t>
  </si>
  <si>
    <t>2172</t>
  </si>
  <si>
    <t>Autafond</t>
  </si>
  <si>
    <t>2173</t>
  </si>
  <si>
    <t>Autigny</t>
  </si>
  <si>
    <t>2174</t>
  </si>
  <si>
    <t>Avry</t>
  </si>
  <si>
    <t>2175</t>
  </si>
  <si>
    <t>Belfaux</t>
  </si>
  <si>
    <t>2177</t>
  </si>
  <si>
    <t>Chénens</t>
  </si>
  <si>
    <t>2179</t>
  </si>
  <si>
    <t>Chésopelloz</t>
  </si>
  <si>
    <t>2183</t>
  </si>
  <si>
    <t>Corminboeuf</t>
  </si>
  <si>
    <t>2184</t>
  </si>
  <si>
    <t>Corpataux-Magnedens</t>
  </si>
  <si>
    <t>2185</t>
  </si>
  <si>
    <t>Corserey</t>
  </si>
  <si>
    <t>2186</t>
  </si>
  <si>
    <t>Cottens</t>
  </si>
  <si>
    <t>2189</t>
  </si>
  <si>
    <t>Ependes</t>
  </si>
  <si>
    <t>2192</t>
  </si>
  <si>
    <t>2194</t>
  </si>
  <si>
    <t>Ferpicloz</t>
  </si>
  <si>
    <t>2196</t>
  </si>
  <si>
    <t>Fribourg</t>
  </si>
  <si>
    <t>2197</t>
  </si>
  <si>
    <t>Givisiez</t>
  </si>
  <si>
    <t>2198</t>
  </si>
  <si>
    <t>Granges-Paccot</t>
  </si>
  <si>
    <t>2200</t>
  </si>
  <si>
    <t>Grolley</t>
  </si>
  <si>
    <t>La Sonnaz</t>
  </si>
  <si>
    <t>2206</t>
  </si>
  <si>
    <t>Marly</t>
  </si>
  <si>
    <t>2208</t>
  </si>
  <si>
    <t>Matran</t>
  </si>
  <si>
    <t>2211</t>
  </si>
  <si>
    <t>Neyruz</t>
  </si>
  <si>
    <t>2213</t>
  </si>
  <si>
    <t>Noréaz</t>
  </si>
  <si>
    <t>2216</t>
  </si>
  <si>
    <t>Pierrafortscha</t>
  </si>
  <si>
    <t>2217</t>
  </si>
  <si>
    <t>Ponthaux</t>
  </si>
  <si>
    <t>Le Mouret</t>
  </si>
  <si>
    <t>2221</t>
  </si>
  <si>
    <t>Prez-vers-Noréaz</t>
  </si>
  <si>
    <t>2222</t>
  </si>
  <si>
    <t>Rossens</t>
  </si>
  <si>
    <t>Le Glèbe</t>
  </si>
  <si>
    <t>2225</t>
  </si>
  <si>
    <t>Senèdes</t>
  </si>
  <si>
    <t>2226</t>
  </si>
  <si>
    <t>Treyvaux</t>
  </si>
  <si>
    <t>2228</t>
  </si>
  <si>
    <t>Villars-sur-Glâne</t>
  </si>
  <si>
    <t>2230</t>
  </si>
  <si>
    <t>Villarsel-sur-Marly</t>
  </si>
  <si>
    <t>2231</t>
  </si>
  <si>
    <t>Vuisternens-en-Ogoz</t>
  </si>
  <si>
    <t>Hauterive</t>
  </si>
  <si>
    <t>La Brillaz</t>
  </si>
  <si>
    <t>2243</t>
  </si>
  <si>
    <t>2244</t>
  </si>
  <si>
    <t>Büchslen</t>
  </si>
  <si>
    <t>2250</t>
  </si>
  <si>
    <t>Courgevaux</t>
  </si>
  <si>
    <t>2251</t>
  </si>
  <si>
    <t>Courlevon</t>
  </si>
  <si>
    <t>2254</t>
  </si>
  <si>
    <t>Courtepin</t>
  </si>
  <si>
    <t>2257</t>
  </si>
  <si>
    <t>Cressier</t>
  </si>
  <si>
    <t>2258</t>
  </si>
  <si>
    <t>Fräschels</t>
  </si>
  <si>
    <t>2259</t>
  </si>
  <si>
    <t>Galmiz</t>
  </si>
  <si>
    <t>2260</t>
  </si>
  <si>
    <t>Gempenach</t>
  </si>
  <si>
    <t>2261</t>
  </si>
  <si>
    <t>Greng</t>
  </si>
  <si>
    <t>2262</t>
  </si>
  <si>
    <t>2264</t>
  </si>
  <si>
    <t>Jeuss</t>
  </si>
  <si>
    <t>2265</t>
  </si>
  <si>
    <t>Kerzers</t>
  </si>
  <si>
    <t>2266</t>
  </si>
  <si>
    <t>Kleinbösingen</t>
  </si>
  <si>
    <t>2270</t>
  </si>
  <si>
    <t>Lurtigen</t>
  </si>
  <si>
    <t>2271</t>
  </si>
  <si>
    <t>Meyriez / Merlach</t>
  </si>
  <si>
    <t>2272</t>
  </si>
  <si>
    <t>Misery-Courtion</t>
  </si>
  <si>
    <t>2274</t>
  </si>
  <si>
    <t>Muntelier</t>
  </si>
  <si>
    <t>2275</t>
  </si>
  <si>
    <t>Murten</t>
  </si>
  <si>
    <t>2276</t>
  </si>
  <si>
    <t>2277</t>
  </si>
  <si>
    <t>Salvenach</t>
  </si>
  <si>
    <t>2278</t>
  </si>
  <si>
    <t>Ulmiz</t>
  </si>
  <si>
    <t>2279</t>
  </si>
  <si>
    <t>Villarepos</t>
  </si>
  <si>
    <t>2280</t>
  </si>
  <si>
    <t>Bas-Vully</t>
  </si>
  <si>
    <t>2281</t>
  </si>
  <si>
    <t>Haut-Vully</t>
  </si>
  <si>
    <t>2283</t>
  </si>
  <si>
    <t>Wallenried</t>
  </si>
  <si>
    <t>2291</t>
  </si>
  <si>
    <t>2292</t>
  </si>
  <si>
    <t>Brünisried</t>
  </si>
  <si>
    <t>2293</t>
  </si>
  <si>
    <t>Düdingen</t>
  </si>
  <si>
    <t>2294</t>
  </si>
  <si>
    <t>Giffers</t>
  </si>
  <si>
    <t>2295</t>
  </si>
  <si>
    <t>Bösingen</t>
  </si>
  <si>
    <t>2296</t>
  </si>
  <si>
    <t>Heitenried</t>
  </si>
  <si>
    <t>2298</t>
  </si>
  <si>
    <t>Oberschrot</t>
  </si>
  <si>
    <t>2299</t>
  </si>
  <si>
    <t>Plaffeien</t>
  </si>
  <si>
    <t>2300</t>
  </si>
  <si>
    <t>Plasselb</t>
  </si>
  <si>
    <t>2301</t>
  </si>
  <si>
    <t>Rechthalten</t>
  </si>
  <si>
    <t>2302</t>
  </si>
  <si>
    <t>St. Antoni</t>
  </si>
  <si>
    <t>2303</t>
  </si>
  <si>
    <t>St. Silvester</t>
  </si>
  <si>
    <t>2304</t>
  </si>
  <si>
    <t>St. Ursen</t>
  </si>
  <si>
    <t>2305</t>
  </si>
  <si>
    <t>Schmitten</t>
  </si>
  <si>
    <t>2306</t>
  </si>
  <si>
    <t>Tafers</t>
  </si>
  <si>
    <t>2307</t>
  </si>
  <si>
    <t>Tentlingen</t>
  </si>
  <si>
    <t>2308</t>
  </si>
  <si>
    <t>2309</t>
  </si>
  <si>
    <t>Wünnewil-Flamatt</t>
  </si>
  <si>
    <t>2310</t>
  </si>
  <si>
    <t>Zumholz</t>
  </si>
  <si>
    <t>2321</t>
  </si>
  <si>
    <t>2323</t>
  </si>
  <si>
    <t>Bossonnens</t>
  </si>
  <si>
    <t>2325</t>
  </si>
  <si>
    <t>Châtel-Saint-Denis</t>
  </si>
  <si>
    <t>La Verrerie</t>
  </si>
  <si>
    <t>2328</t>
  </si>
  <si>
    <t>Granges</t>
  </si>
  <si>
    <t>Le Flon</t>
  </si>
  <si>
    <t>2333</t>
  </si>
  <si>
    <t>Remaufens</t>
  </si>
  <si>
    <t>2335</t>
  </si>
  <si>
    <t>Saint-Martin</t>
  </si>
  <si>
    <t>2336</t>
  </si>
  <si>
    <t>Semsales</t>
  </si>
  <si>
    <t>La Folliaz</t>
  </si>
  <si>
    <t>Ueberstorf</t>
  </si>
  <si>
    <t>Ried bei Kerzers</t>
  </si>
  <si>
    <t>Delley-Portalban</t>
  </si>
  <si>
    <t>Vernay</t>
  </si>
  <si>
    <t>41 Homes médicalisés</t>
  </si>
  <si>
    <t>44 Soins ambulatoires</t>
  </si>
  <si>
    <t>charges</t>
  </si>
  <si>
    <t>produits</t>
  </si>
  <si>
    <t>Total</t>
  </si>
  <si>
    <t>200 Ecole enfantine</t>
  </si>
  <si>
    <t>Total des charges nettes</t>
  </si>
  <si>
    <t>220 Ecoles spécialisées</t>
  </si>
  <si>
    <t>210 Cycle scolaire obligatoire</t>
  </si>
  <si>
    <t>Total Ordre public (1)</t>
  </si>
  <si>
    <t>Total Transports (6)</t>
  </si>
  <si>
    <t>Charges nettes Ordre publ.</t>
  </si>
  <si>
    <t>Charges nettes Transports</t>
  </si>
  <si>
    <t>DPOP</t>
  </si>
  <si>
    <t>CRPOP</t>
  </si>
  <si>
    <t>PA80</t>
  </si>
  <si>
    <t>Total 41+44+57</t>
  </si>
  <si>
    <t>Charges nettes 41+44+57</t>
  </si>
  <si>
    <t>SCOB</t>
  </si>
  <si>
    <t>Total 200+210+220</t>
  </si>
  <si>
    <t>Charges nettes 200+210+220</t>
  </si>
  <si>
    <t xml:space="preserve">Farvagny </t>
  </si>
  <si>
    <t xml:space="preserve">Barberêche   </t>
  </si>
  <si>
    <t xml:space="preserve">Gurmels  </t>
  </si>
  <si>
    <t xml:space="preserve">Alterswil      </t>
  </si>
  <si>
    <t xml:space="preserve">Attalens   </t>
  </si>
  <si>
    <t>TE</t>
  </si>
  <si>
    <t>Total Aide sociale (58)</t>
  </si>
  <si>
    <t>Charges nettes Aide sociale</t>
  </si>
  <si>
    <t>Comptes communaux de fonctionnement</t>
  </si>
  <si>
    <t>200, 210, 217, 221 Enseignement obligatoire</t>
  </si>
  <si>
    <t>41, 44, 57 Personnes âgées</t>
  </si>
  <si>
    <t>Pondérations en %</t>
  </si>
  <si>
    <r>
      <t>200</t>
    </r>
    <r>
      <rPr>
        <sz val="10"/>
        <rFont val="Arial Narrow"/>
        <family val="2"/>
      </rPr>
      <t xml:space="preserve"> École enfantine</t>
    </r>
  </si>
  <si>
    <r>
      <t>210</t>
    </r>
    <r>
      <rPr>
        <sz val="10"/>
        <rFont val="Arial Narrow"/>
        <family val="2"/>
      </rPr>
      <t xml:space="preserve"> Cycle scolaire obligatoire (primaire et secondaire)</t>
    </r>
  </si>
  <si>
    <r>
      <t>217</t>
    </r>
    <r>
      <rPr>
        <sz val="10"/>
        <rFont val="Arial Narrow"/>
        <family val="2"/>
      </rPr>
      <t xml:space="preserve"> Transports scolaires</t>
    </r>
  </si>
  <si>
    <r>
      <t>221</t>
    </r>
    <r>
      <rPr>
        <sz val="10"/>
        <rFont val="Arial Narrow"/>
        <family val="2"/>
      </rPr>
      <t xml:space="preserve"> Écoles spécialisées</t>
    </r>
  </si>
  <si>
    <r>
      <t>44</t>
    </r>
    <r>
      <rPr>
        <sz val="10"/>
        <rFont val="Arial Narrow"/>
        <family val="2"/>
      </rPr>
      <t xml:space="preserve"> Soins ambulatoires</t>
    </r>
  </si>
  <si>
    <r>
      <t>6</t>
    </r>
    <r>
      <rPr>
        <sz val="10"/>
        <rFont val="Arial Narrow"/>
        <family val="2"/>
      </rPr>
      <t xml:space="preserve"> Transports et communications</t>
    </r>
  </si>
  <si>
    <t>Les groupes de dépenses communales nettes pris en compte pour le calcul des pondérations sont les suivants:</t>
  </si>
  <si>
    <t>Montants nets</t>
  </si>
  <si>
    <t>Critères (3 années)</t>
  </si>
  <si>
    <t>1 Ordre et sécurité publics</t>
  </si>
  <si>
    <t>6 Transports et communications</t>
  </si>
  <si>
    <r>
      <t xml:space="preserve">1 </t>
    </r>
    <r>
      <rPr>
        <sz val="10"/>
        <rFont val="Arial Narrow"/>
        <family val="2"/>
      </rPr>
      <t>Ordre et sécurité publics</t>
    </r>
  </si>
  <si>
    <t>58 Prévoyance sociale</t>
  </si>
  <si>
    <t>58 Aide sociale</t>
  </si>
  <si>
    <r>
      <t>58</t>
    </r>
    <r>
      <rPr>
        <sz val="10"/>
        <rFont val="Arial Narrow"/>
        <family val="2"/>
      </rPr>
      <t xml:space="preserve"> Aide sociale</t>
    </r>
  </si>
  <si>
    <r>
      <t>41</t>
    </r>
    <r>
      <rPr>
        <sz val="10"/>
        <rFont val="Arial Narrow"/>
        <family val="2"/>
      </rPr>
      <t xml:space="preserve"> et </t>
    </r>
    <r>
      <rPr>
        <b/>
        <sz val="10"/>
        <rFont val="Arial Narrow"/>
        <family val="2"/>
      </rPr>
      <t>57</t>
    </r>
    <r>
      <rPr>
        <sz val="10"/>
        <rFont val="Arial Narrow"/>
        <family val="2"/>
      </rPr>
      <t xml:space="preserve"> Établissements médico-sociaux pour personnes âgées</t>
    </r>
  </si>
  <si>
    <t>62 Routes communales</t>
  </si>
  <si>
    <t>Total 62 Routes communales</t>
  </si>
  <si>
    <t>Charges nettes 62</t>
  </si>
  <si>
    <t>Pondérations retenues:</t>
  </si>
  <si>
    <t>Ordre public</t>
  </si>
  <si>
    <t>École enfantine</t>
  </si>
  <si>
    <t>Cycle scolaire obligatoire</t>
  </si>
  <si>
    <t>Transports scolaires reconnus</t>
  </si>
  <si>
    <t>Logopédie-psychomotricité</t>
  </si>
  <si>
    <t>Homes médicalisés</t>
  </si>
  <si>
    <t>Soins ambulatoires</t>
  </si>
  <si>
    <t>Résidences pour personnes âgées</t>
  </si>
  <si>
    <t>Aide sociale</t>
  </si>
  <si>
    <t>Transports et communication</t>
  </si>
  <si>
    <t>* 217</t>
  </si>
  <si>
    <t>Moyenne des montants nets 2011-2013</t>
  </si>
  <si>
    <t>*</t>
  </si>
  <si>
    <t>population  légale cantonale</t>
  </si>
  <si>
    <t>dépenses par habitant</t>
  </si>
  <si>
    <t>ISB</t>
  </si>
  <si>
    <t>Farvagny</t>
  </si>
  <si>
    <t>Barberêche</t>
  </si>
  <si>
    <t>Gurmels</t>
  </si>
  <si>
    <t>Meyriez</t>
  </si>
  <si>
    <t>Alterswil</t>
  </si>
  <si>
    <t>Attalens</t>
  </si>
  <si>
    <t>Val-de-Charmey</t>
  </si>
  <si>
    <t>population légale</t>
  </si>
  <si>
    <t>Evaluation de la péréquation des besoins 2011-2013</t>
  </si>
  <si>
    <t>tâches de référence</t>
  </si>
  <si>
    <t>Tableau B-2    Comptes communaux pour les tâches de référence, 2011</t>
  </si>
  <si>
    <t>Tableau B-3    Comptes communaux pour les tâches de référence, 2012</t>
  </si>
  <si>
    <t>Comptes communaux pour les tâches de référence, 2011</t>
  </si>
  <si>
    <t>Comptes communaux pour les tâches de référence, 2013</t>
  </si>
  <si>
    <t>Comptes communaux pour les tâches de référence, 2012</t>
  </si>
  <si>
    <t>montant reçu au titre de la péréquation</t>
  </si>
  <si>
    <t>ensemble des communes →</t>
  </si>
  <si>
    <t>valeur en francs →</t>
  </si>
  <si>
    <t>AVANT</t>
  </si>
  <si>
    <t>APRES</t>
  </si>
  <si>
    <t>total des dépenses de référence</t>
  </si>
  <si>
    <t>dépenses normées 
+ péréquation des besoins</t>
  </si>
  <si>
    <t>avant</t>
  </si>
  <si>
    <t>après</t>
  </si>
  <si>
    <t>totaux</t>
  </si>
  <si>
    <t>Tableau B1     Tâches de référence: total des dépenses des communes</t>
  </si>
  <si>
    <t>En général, les transports scolaires sont intégrés dans les chapitres 200 ou 210; trop peu de communes emploien explicitement le 217, pour celles-ci on a intégré les montant dans le 210.</t>
  </si>
  <si>
    <t>Pour les résidences pour personnes âgées, en général seules les communes singinoises utilisent le compte 57, c'est pourquoi les montants sont additionnés dans le compte 41.</t>
  </si>
  <si>
    <t>** 57</t>
  </si>
  <si>
    <t>**</t>
  </si>
  <si>
    <t>total des dépenses communales</t>
  </si>
  <si>
    <t>facteur de correction</t>
  </si>
  <si>
    <t>dépenses normées DTNi en fonction des besoins</t>
  </si>
  <si>
    <t>en % de la dépense initiale</t>
  </si>
  <si>
    <t>DTNi
valeur corrigée</t>
  </si>
  <si>
    <t>en point de Pfi</t>
  </si>
  <si>
    <t>valeur calculée
POPi 
x (ISBi/100)
 x 1'753.85</t>
  </si>
  <si>
    <t>valeur calculée
POPi 
x (ISBi/100)
x 1'801.88</t>
  </si>
  <si>
    <t>Calcul des pondérations 2011, 2012, 2013 selon décision du GC</t>
  </si>
  <si>
    <t>Calcul des pondérations 2011, 2012, 2013 selon version originale Copil</t>
  </si>
  <si>
    <t>Performance de la péréquation des besoins, 2011-2013, corr fusions</t>
  </si>
  <si>
    <t>PF 2011</t>
  </si>
  <si>
    <t>en point de PF 2011</t>
  </si>
  <si>
    <t>PF 2012</t>
  </si>
  <si>
    <t>en point PF 2012</t>
  </si>
  <si>
    <t>en point PF 2013</t>
  </si>
  <si>
    <t>COMMUNES / GEMEINDEN</t>
  </si>
  <si>
    <t>COMPTES COMMUNAUX 2013</t>
  </si>
  <si>
    <t>1 Ordre public</t>
  </si>
  <si>
    <t>***</t>
  </si>
  <si>
    <t xml:space="preserve">Le total des dépenses de référence sont les montants nets des comptes ou chapitres concernés,
alors que le total des dépenses communales sont les dépenses brutes tirées des comptes communaux. </t>
  </si>
  <si>
    <t xml:space="preserve">Tableau B-5   Calcul des pondérations des ISB </t>
  </si>
  <si>
    <t>valeur calculée
POPi 
x (ISBi/100) 
x 1820.79</t>
  </si>
  <si>
    <t>somme</t>
  </si>
  <si>
    <t>somme/3</t>
  </si>
  <si>
    <t>2011-2013</t>
  </si>
  <si>
    <t>moyenne</t>
  </si>
  <si>
    <t>écart</t>
  </si>
  <si>
    <t>en points de PF 2012</t>
  </si>
  <si>
    <t>Graphique: incidences péréquatives par habitant</t>
  </si>
  <si>
    <t>Graphique: incidences péréquatives en % de la dépense initiale</t>
  </si>
  <si>
    <t>Graphique: incidence péréquation en points de PF</t>
  </si>
  <si>
    <t>moyenne
2011-2012</t>
  </si>
  <si>
    <t>Tableau B-7        Performance de la péréquation des besoins, 2011-2013</t>
  </si>
  <si>
    <t>Tableau B-8   Incidences péréquatives en francs par habitant, en % de la dépense initiale, 2011-2013; en points de PF 2011-2012</t>
  </si>
  <si>
    <t>Tableau B-9   Incidences péréquatives en francs par habitant, 2011-2013</t>
  </si>
  <si>
    <t>différence en francs par habitant</t>
  </si>
  <si>
    <t>en points de PF 2011</t>
  </si>
  <si>
    <t>Tableau B-11   Incidences péréquatives en % de la dépense initiale, 2011-2013</t>
  </si>
  <si>
    <t>Tableau B-12   Incidences péréquatives en points de PF 2011, 2012</t>
  </si>
  <si>
    <t>Incidences péréquatives</t>
  </si>
  <si>
    <t>montant moyen</t>
  </si>
  <si>
    <t>par habitant</t>
  </si>
  <si>
    <t>contrôle</t>
  </si>
  <si>
    <t>20.00 - 24.99</t>
  </si>
  <si>
    <t>25.00 - 29.99</t>
  </si>
  <si>
    <t>&lt; 9.99</t>
  </si>
  <si>
    <t>10.00 - 19.99</t>
  </si>
  <si>
    <t>30.00 - 34.99</t>
  </si>
  <si>
    <t>35.00 - 39.99</t>
  </si>
  <si>
    <t>40.00 - 44.99</t>
  </si>
  <si>
    <t>45.00 - 49.99</t>
  </si>
  <si>
    <t>50.00 - 54.99</t>
  </si>
  <si>
    <t>55.00 - 59.99</t>
  </si>
  <si>
    <t>60.00 - 64.99</t>
  </si>
  <si>
    <t>&gt; 65.00</t>
  </si>
  <si>
    <t>en francs par habitant</t>
  </si>
  <si>
    <t>&lt; 0.99</t>
  </si>
  <si>
    <t>1.75 - 1.99</t>
  </si>
  <si>
    <t>1.50 - 1.74</t>
  </si>
  <si>
    <t>2.00 - 2.24</t>
  </si>
  <si>
    <t>2.25 - 2.49</t>
  </si>
  <si>
    <t>2.50 - 2.68</t>
  </si>
  <si>
    <t>2.69 – 2.85</t>
  </si>
  <si>
    <t>2.86 - 3.00</t>
  </si>
  <si>
    <t>3.01 - 3.19</t>
  </si>
  <si>
    <t>&gt; 3.20</t>
  </si>
  <si>
    <t>1.00 - 1.30</t>
  </si>
  <si>
    <t>1.31 - 1.57</t>
  </si>
  <si>
    <t>1.58 – 1.80</t>
  </si>
  <si>
    <t>1.81 – 2.03</t>
  </si>
  <si>
    <t>2.04 – 2.24</t>
  </si>
  <si>
    <t>&lt; 0.19</t>
  </si>
  <si>
    <t>0.20 - 0.49</t>
  </si>
  <si>
    <t>0.50 - 0.74</t>
  </si>
  <si>
    <t>0.75 - 0.99</t>
  </si>
  <si>
    <t>1.00 - 1.24</t>
  </si>
  <si>
    <t>1.25 - 1.49</t>
  </si>
  <si>
    <t xml:space="preserve">&gt; 2.50 </t>
  </si>
  <si>
    <t>en point de PF</t>
  </si>
  <si>
    <t>fonctions</t>
  </si>
  <si>
    <t>explicative variable</t>
  </si>
  <si>
    <t>moyen</t>
  </si>
  <si>
    <t>sur 3 ans</t>
  </si>
  <si>
    <t>Enseignement obligatoire</t>
  </si>
  <si>
    <t>Personnes âgées</t>
  </si>
  <si>
    <t>Ordre et sécurité publiques</t>
  </si>
  <si>
    <t>1 Ordre et sécurité publique</t>
  </si>
  <si>
    <t>Transports et communications</t>
  </si>
  <si>
    <t>Tableau 5 bis Calcul des pondération des ISB selon le Copil et le Rapport 2007, années 2011 - 2013, compte communaux de fonctionnement</t>
  </si>
  <si>
    <t>PF 2013</t>
  </si>
  <si>
    <t>montant moyen de péréquation par habitant</t>
  </si>
  <si>
    <t>total de la péréquation des besoins</t>
  </si>
  <si>
    <t>en % des dépenses de référence</t>
  </si>
  <si>
    <t>dépenses de référence en % des dépenses totales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</si>
</sst>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0.00000"/>
    <numFmt numFmtId="166" formatCode="0.0000%"/>
    <numFmt numFmtId="167" formatCode="#,##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Narrow"/>
      <family val="2"/>
    </font>
    <font>
      <b/>
      <sz val="10"/>
      <name val="Arial Narrow"/>
      <family val="2"/>
    </font>
    <font>
      <b/>
      <i/>
      <sz val="10"/>
      <name val="Arial Narrow"/>
      <family val="2"/>
    </font>
    <font>
      <i/>
      <sz val="10"/>
      <name val="Arial Narrow"/>
      <family val="2"/>
    </font>
    <font>
      <sz val="10"/>
      <name val="Arial Narrow"/>
      <family val="2"/>
    </font>
    <font>
      <sz val="8"/>
      <name val="Arial Narrow"/>
      <family val="2"/>
    </font>
    <font>
      <b/>
      <sz val="14"/>
      <name val="Arial Narrow"/>
      <family val="2"/>
    </font>
    <font>
      <sz val="14"/>
      <name val="Arial Narrow"/>
      <family val="2"/>
    </font>
    <font>
      <sz val="10"/>
      <color theme="1"/>
      <name val="Calibri"/>
      <family val="2"/>
    </font>
    <font>
      <b/>
      <sz val="11"/>
      <color theme="1"/>
      <name val="Calibri"/>
      <family val="2"/>
      <scheme val="minor"/>
    </font>
    <font>
      <sz val="10"/>
      <name val="MS Sans Serif"/>
    </font>
    <font>
      <b/>
      <sz val="10"/>
      <name val="Arial"/>
      <family val="2"/>
    </font>
    <font>
      <sz val="9"/>
      <color indexed="81"/>
      <name val="Tahoma"/>
      <family val="2"/>
    </font>
    <font>
      <b/>
      <sz val="9"/>
      <color indexed="81"/>
      <name val="Tahoma"/>
      <family val="2"/>
    </font>
    <font>
      <sz val="11"/>
      <name val="Calibri"/>
      <family val="2"/>
      <scheme val="minor"/>
    </font>
    <font>
      <b/>
      <sz val="9"/>
      <name val="Arial Narrow"/>
      <family val="2"/>
    </font>
    <font>
      <i/>
      <sz val="9"/>
      <name val="Arial Narrow"/>
      <family val="2"/>
    </font>
    <font>
      <sz val="9"/>
      <color indexed="81"/>
      <name val="Tahoma"/>
      <charset val="1"/>
    </font>
    <font>
      <b/>
      <sz val="9"/>
      <color indexed="81"/>
      <name val="Tahoma"/>
      <charset val="1"/>
    </font>
    <font>
      <b/>
      <sz val="10"/>
      <color theme="1"/>
      <name val="Calibri"/>
      <family val="2"/>
    </font>
    <font>
      <b/>
      <sz val="8"/>
      <name val="Arial Narrow"/>
      <family val="2"/>
    </font>
    <font>
      <b/>
      <sz val="9"/>
      <name val="Arial"/>
      <family val="2"/>
    </font>
    <font>
      <sz val="10"/>
      <name val="Arial"/>
      <family val="2"/>
    </font>
    <font>
      <sz val="9"/>
      <name val="Arial Narrow"/>
      <family val="2"/>
    </font>
    <font>
      <sz val="10"/>
      <name val="Arial"/>
    </font>
    <font>
      <i/>
      <sz val="11"/>
      <color theme="1"/>
      <name val="Calibri"/>
      <family val="2"/>
      <scheme val="minor"/>
    </font>
    <font>
      <i/>
      <sz val="10"/>
      <name val="Arial"/>
      <family val="2"/>
    </font>
    <font>
      <sz val="9"/>
      <name val="Arial"/>
      <family val="2"/>
    </font>
    <font>
      <sz val="11"/>
      <name val="Calibri"/>
      <family val="2"/>
    </font>
    <font>
      <sz val="10"/>
      <name val="Calibri"/>
      <family val="2"/>
    </font>
    <font>
      <b/>
      <sz val="9"/>
      <name val="Calibri"/>
      <family val="2"/>
      <scheme val="minor"/>
    </font>
    <font>
      <b/>
      <sz val="12"/>
      <name val="Arial Narrow"/>
      <family val="2"/>
    </font>
    <font>
      <b/>
      <sz val="12"/>
      <name val="Arial"/>
      <family val="2"/>
    </font>
    <font>
      <sz val="10"/>
      <name val="Calibri"/>
      <family val="2"/>
      <scheme val="minor"/>
    </font>
    <font>
      <b/>
      <sz val="10"/>
      <name val="Calibri"/>
      <family val="2"/>
      <scheme val="minor"/>
    </font>
  </fonts>
  <fills count="13">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rgb="FFCCFFCC"/>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6337778862885"/>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bottom/>
      <diagonal/>
    </border>
    <border>
      <left style="thick">
        <color indexed="64"/>
      </left>
      <right style="thin">
        <color indexed="64"/>
      </right>
      <top style="thin">
        <color indexed="64"/>
      </top>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7">
    <xf numFmtId="0" fontId="0" fillId="0" borderId="0"/>
    <xf numFmtId="0" fontId="13" fillId="0" borderId="0"/>
    <xf numFmtId="0" fontId="8" fillId="0" borderId="0"/>
    <xf numFmtId="0" fontId="19" fillId="0" borderId="0"/>
    <xf numFmtId="0" fontId="9" fillId="0" borderId="0"/>
    <xf numFmtId="43" fontId="33" fillId="0" borderId="0" applyFont="0" applyFill="0" applyBorder="0" applyAlignment="0" applyProtection="0"/>
    <xf numFmtId="0" fontId="31" fillId="0" borderId="0"/>
  </cellStyleXfs>
  <cellXfs count="475">
    <xf numFmtId="0" fontId="0" fillId="0" borderId="0" xfId="0"/>
    <xf numFmtId="0" fontId="9" fillId="0" borderId="0" xfId="0" applyFont="1" applyBorder="1" applyAlignment="1">
      <alignment horizontal="lef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9" fillId="0" borderId="0" xfId="0" applyFont="1" applyBorder="1" applyAlignment="1">
      <alignment vertical="center"/>
    </xf>
    <xf numFmtId="0" fontId="9" fillId="0" borderId="0" xfId="0" applyFont="1" applyBorder="1" applyAlignment="1">
      <alignment horizontal="righ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9" fillId="0" borderId="1" xfId="0" applyFont="1" applyBorder="1" applyAlignment="1">
      <alignment horizontal="right" vertical="center"/>
    </xf>
    <xf numFmtId="4" fontId="9" fillId="0" borderId="2" xfId="0" applyNumberFormat="1" applyFont="1" applyBorder="1" applyAlignment="1">
      <alignment vertical="center"/>
    </xf>
    <xf numFmtId="4" fontId="10" fillId="0" borderId="2" xfId="0" applyNumberFormat="1" applyFont="1" applyBorder="1" applyAlignment="1">
      <alignment vertical="center"/>
    </xf>
    <xf numFmtId="4" fontId="11" fillId="0" borderId="2" xfId="0" applyNumberFormat="1" applyFont="1" applyBorder="1" applyAlignment="1">
      <alignment vertical="center"/>
    </xf>
    <xf numFmtId="0" fontId="11" fillId="0" borderId="2" xfId="0" applyFont="1" applyBorder="1" applyAlignment="1">
      <alignment vertical="center"/>
    </xf>
    <xf numFmtId="0" fontId="9" fillId="0" borderId="3" xfId="0" applyFont="1" applyFill="1" applyBorder="1" applyAlignment="1">
      <alignment horizontal="left" vertical="center"/>
    </xf>
    <xf numFmtId="0" fontId="9" fillId="0" borderId="4" xfId="0" applyFont="1" applyFill="1" applyBorder="1" applyAlignment="1">
      <alignment vertical="center"/>
    </xf>
    <xf numFmtId="0" fontId="9" fillId="0" borderId="5" xfId="0" applyFont="1" applyFill="1" applyBorder="1" applyAlignment="1">
      <alignment horizontal="left" vertical="center"/>
    </xf>
    <xf numFmtId="0" fontId="9" fillId="0" borderId="6" xfId="0" applyFont="1" applyFill="1" applyBorder="1" applyAlignment="1">
      <alignment vertical="center"/>
    </xf>
    <xf numFmtId="0" fontId="10" fillId="0" borderId="5" xfId="0" applyFont="1" applyFill="1" applyBorder="1" applyAlignment="1">
      <alignment horizontal="left" vertical="center"/>
    </xf>
    <xf numFmtId="0" fontId="10" fillId="0" borderId="6" xfId="0" applyFont="1" applyFill="1" applyBorder="1" applyAlignment="1">
      <alignment vertical="center"/>
    </xf>
    <xf numFmtId="0" fontId="11" fillId="0" borderId="5" xfId="0" applyFont="1" applyFill="1" applyBorder="1" applyAlignment="1">
      <alignment horizontal="left" vertical="center"/>
    </xf>
    <xf numFmtId="0" fontId="11" fillId="0" borderId="6" xfId="0" applyFont="1" applyFill="1" applyBorder="1" applyAlignment="1">
      <alignment vertical="center"/>
    </xf>
    <xf numFmtId="0" fontId="10" fillId="0" borderId="7" xfId="0" applyFont="1" applyFill="1" applyBorder="1" applyAlignment="1">
      <alignment horizontal="left" vertical="center"/>
    </xf>
    <xf numFmtId="0" fontId="10" fillId="0" borderId="8" xfId="0" applyFont="1" applyFill="1" applyBorder="1" applyAlignment="1">
      <alignment vertical="center"/>
    </xf>
    <xf numFmtId="4" fontId="9" fillId="0" borderId="0" xfId="0" applyNumberFormat="1" applyFont="1" applyBorder="1" applyAlignment="1">
      <alignment vertical="center"/>
    </xf>
    <xf numFmtId="4" fontId="10" fillId="0" borderId="0" xfId="0" applyNumberFormat="1" applyFont="1" applyBorder="1" applyAlignment="1">
      <alignment vertical="center"/>
    </xf>
    <xf numFmtId="4" fontId="11" fillId="0" borderId="0" xfId="0" applyNumberFormat="1" applyFont="1" applyBorder="1" applyAlignment="1">
      <alignment vertical="center"/>
    </xf>
    <xf numFmtId="0" fontId="10" fillId="0" borderId="9" xfId="0" applyFont="1" applyBorder="1" applyAlignment="1">
      <alignment vertical="center"/>
    </xf>
    <xf numFmtId="10" fontId="10" fillId="0" borderId="0" xfId="0" applyNumberFormat="1" applyFont="1" applyBorder="1" applyAlignment="1">
      <alignment vertical="center"/>
    </xf>
    <xf numFmtId="10" fontId="11" fillId="0" borderId="0" xfId="0" applyNumberFormat="1" applyFont="1" applyBorder="1" applyAlignment="1">
      <alignment vertical="center"/>
    </xf>
    <xf numFmtId="4" fontId="9" fillId="0" borderId="3" xfId="0" applyNumberFormat="1" applyFont="1" applyFill="1" applyBorder="1" applyAlignment="1">
      <alignment vertical="center"/>
    </xf>
    <xf numFmtId="4" fontId="9" fillId="0" borderId="10" xfId="0" applyNumberFormat="1" applyFont="1" applyFill="1" applyBorder="1" applyAlignment="1">
      <alignment vertical="center"/>
    </xf>
    <xf numFmtId="4" fontId="9" fillId="0" borderId="5" xfId="0" applyNumberFormat="1" applyFont="1" applyFill="1" applyBorder="1" applyAlignment="1">
      <alignment vertical="center"/>
    </xf>
    <xf numFmtId="4" fontId="9" fillId="0" borderId="2" xfId="0" applyNumberFormat="1" applyFont="1" applyFill="1" applyBorder="1" applyAlignment="1">
      <alignment vertical="center"/>
    </xf>
    <xf numFmtId="0" fontId="9" fillId="0" borderId="7" xfId="0" applyFont="1" applyFill="1" applyBorder="1" applyAlignment="1">
      <alignment horizontal="left" vertical="center"/>
    </xf>
    <xf numFmtId="0" fontId="9" fillId="0" borderId="8" xfId="0" applyFont="1" applyFill="1" applyBorder="1" applyAlignment="1">
      <alignment vertical="center"/>
    </xf>
    <xf numFmtId="4" fontId="9" fillId="0" borderId="7" xfId="0" applyNumberFormat="1" applyFont="1" applyFill="1" applyBorder="1" applyAlignment="1">
      <alignment vertical="center"/>
    </xf>
    <xf numFmtId="4" fontId="9" fillId="0" borderId="9" xfId="0" applyNumberFormat="1" applyFont="1" applyFill="1" applyBorder="1" applyAlignment="1">
      <alignment vertical="center"/>
    </xf>
    <xf numFmtId="0" fontId="9" fillId="0" borderId="0" xfId="0" applyFont="1" applyFill="1" applyBorder="1" applyAlignment="1">
      <alignment vertical="center"/>
    </xf>
    <xf numFmtId="0" fontId="15" fillId="3" borderId="0" xfId="1" applyFont="1" applyFill="1"/>
    <xf numFmtId="0" fontId="8" fillId="0" borderId="0" xfId="2"/>
    <xf numFmtId="3" fontId="10" fillId="0" borderId="0" xfId="0" applyNumberFormat="1" applyFont="1" applyAlignment="1">
      <alignment horizontal="left" vertical="center"/>
    </xf>
    <xf numFmtId="0" fontId="10" fillId="0" borderId="0" xfId="0" applyNumberFormat="1" applyFont="1" applyAlignment="1">
      <alignment vertical="center"/>
    </xf>
    <xf numFmtId="0" fontId="11" fillId="0" borderId="0" xfId="0" applyFont="1" applyFill="1" applyAlignment="1">
      <alignment horizontal="left" vertical="center"/>
    </xf>
    <xf numFmtId="0" fontId="10" fillId="0" borderId="0" xfId="0" applyNumberFormat="1" applyFont="1" applyFill="1" applyAlignment="1">
      <alignment vertical="center"/>
    </xf>
    <xf numFmtId="0" fontId="11" fillId="0" borderId="0" xfId="0" applyNumberFormat="1" applyFont="1" applyAlignment="1">
      <alignment horizontal="right" vertical="center"/>
    </xf>
    <xf numFmtId="0" fontId="10" fillId="0" borderId="0" xfId="0" applyFont="1" applyAlignment="1">
      <alignment horizontal="left" vertical="center"/>
    </xf>
    <xf numFmtId="3" fontId="10" fillId="0" borderId="0" xfId="0" applyNumberFormat="1"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9" fillId="0" borderId="0" xfId="0" applyNumberFormat="1" applyFont="1" applyAlignment="1">
      <alignment horizontal="left" vertical="center"/>
    </xf>
    <xf numFmtId="0" fontId="9" fillId="0" borderId="0" xfId="0" applyNumberFormat="1" applyFont="1" applyAlignment="1">
      <alignment vertical="center"/>
    </xf>
    <xf numFmtId="0" fontId="10" fillId="0" borderId="0" xfId="0" applyNumberFormat="1" applyFont="1" applyAlignment="1">
      <alignment horizontal="left" vertical="center"/>
    </xf>
    <xf numFmtId="0" fontId="10" fillId="0" borderId="0" xfId="0" applyFont="1" applyAlignment="1">
      <alignment vertical="center"/>
    </xf>
    <xf numFmtId="3" fontId="0" fillId="0" borderId="0" xfId="0" applyNumberFormat="1"/>
    <xf numFmtId="0" fontId="18" fillId="0" borderId="0" xfId="0" applyFont="1"/>
    <xf numFmtId="0" fontId="23" fillId="0" borderId="0" xfId="0" applyFont="1"/>
    <xf numFmtId="0" fontId="23" fillId="0" borderId="0" xfId="0" applyFont="1" applyAlignment="1">
      <alignment horizontal="center"/>
    </xf>
    <xf numFmtId="0" fontId="23" fillId="0" borderId="0" xfId="0" applyFont="1" applyBorder="1" applyAlignment="1">
      <alignment horizontal="center" vertical="center"/>
    </xf>
    <xf numFmtId="0" fontId="9" fillId="5" borderId="0" xfId="0" applyFont="1" applyFill="1" applyAlignment="1">
      <alignment horizontal="left" vertical="center"/>
    </xf>
    <xf numFmtId="0" fontId="9" fillId="5" borderId="0" xfId="0" applyFont="1" applyFill="1" applyAlignment="1">
      <alignment vertical="center"/>
    </xf>
    <xf numFmtId="0" fontId="0" fillId="6" borderId="0" xfId="0" applyFill="1"/>
    <xf numFmtId="0" fontId="0" fillId="0" borderId="1" xfId="0" applyBorder="1"/>
    <xf numFmtId="0" fontId="11" fillId="7" borderId="1" xfId="0" applyNumberFormat="1" applyFont="1" applyFill="1" applyBorder="1" applyAlignment="1">
      <alignment horizontal="right" vertical="center"/>
    </xf>
    <xf numFmtId="0" fontId="12" fillId="7" borderId="1" xfId="0" applyNumberFormat="1" applyFont="1" applyFill="1" applyBorder="1" applyAlignment="1">
      <alignment horizontal="right" vertical="center"/>
    </xf>
    <xf numFmtId="3" fontId="12" fillId="7" borderId="1" xfId="0" applyNumberFormat="1" applyFont="1" applyFill="1" applyBorder="1" applyAlignment="1">
      <alignment horizontal="right" vertical="center"/>
    </xf>
    <xf numFmtId="0" fontId="10" fillId="7" borderId="1" xfId="0" applyFont="1" applyFill="1" applyBorder="1" applyAlignment="1">
      <alignment horizontal="left" vertical="center"/>
    </xf>
    <xf numFmtId="3" fontId="10" fillId="7" borderId="1" xfId="0" applyNumberFormat="1" applyFont="1" applyFill="1" applyBorder="1" applyAlignment="1">
      <alignment horizontal="right" vertical="center"/>
    </xf>
    <xf numFmtId="4" fontId="9" fillId="0" borderId="0" xfId="0" applyNumberFormat="1" applyFont="1" applyFill="1" applyAlignment="1">
      <alignment horizontal="right" vertical="center"/>
    </xf>
    <xf numFmtId="4" fontId="9" fillId="5" borderId="0" xfId="0" applyNumberFormat="1" applyFont="1" applyFill="1" applyAlignment="1">
      <alignment horizontal="right" vertical="center"/>
    </xf>
    <xf numFmtId="4" fontId="9" fillId="6" borderId="0" xfId="0" applyNumberFormat="1" applyFont="1" applyFill="1" applyAlignment="1">
      <alignment horizontal="right" vertical="center"/>
    </xf>
    <xf numFmtId="3" fontId="9" fillId="0" borderId="0" xfId="0" applyNumberFormat="1" applyFont="1" applyAlignment="1">
      <alignment vertical="center"/>
    </xf>
    <xf numFmtId="3" fontId="9" fillId="5" borderId="0" xfId="0" applyNumberFormat="1" applyFont="1" applyFill="1" applyAlignment="1">
      <alignment vertical="center"/>
    </xf>
    <xf numFmtId="3" fontId="9" fillId="0" borderId="0" xfId="0" applyNumberFormat="1" applyFont="1" applyAlignment="1">
      <alignment horizontal="right" vertical="center"/>
    </xf>
    <xf numFmtId="0" fontId="9" fillId="0" borderId="0" xfId="0" applyFont="1"/>
    <xf numFmtId="0" fontId="9" fillId="7" borderId="1" xfId="0" applyFont="1" applyFill="1" applyBorder="1"/>
    <xf numFmtId="3" fontId="10" fillId="9" borderId="1" xfId="0" applyNumberFormat="1" applyFont="1" applyFill="1" applyBorder="1"/>
    <xf numFmtId="2" fontId="10" fillId="7" borderId="1" xfId="0" applyNumberFormat="1" applyFont="1" applyFill="1" applyBorder="1"/>
    <xf numFmtId="3" fontId="9" fillId="0" borderId="0" xfId="0" applyNumberFormat="1" applyFont="1"/>
    <xf numFmtId="2" fontId="9" fillId="0" borderId="0" xfId="0" applyNumberFormat="1" applyFont="1"/>
    <xf numFmtId="3" fontId="9" fillId="6" borderId="0" xfId="0" applyNumberFormat="1" applyFont="1" applyFill="1"/>
    <xf numFmtId="0" fontId="9" fillId="6" borderId="0" xfId="0" applyFont="1" applyFill="1"/>
    <xf numFmtId="0" fontId="9" fillId="5" borderId="0" xfId="0" applyFont="1" applyFill="1"/>
    <xf numFmtId="2" fontId="9" fillId="6" borderId="0" xfId="0" applyNumberFormat="1" applyFont="1" applyFill="1"/>
    <xf numFmtId="3" fontId="9" fillId="5" borderId="0" xfId="0" applyNumberFormat="1" applyFont="1" applyFill="1"/>
    <xf numFmtId="2" fontId="9" fillId="5" borderId="0" xfId="0" applyNumberFormat="1" applyFont="1" applyFill="1"/>
    <xf numFmtId="3" fontId="24" fillId="10" borderId="1" xfId="0" applyNumberFormat="1" applyFont="1" applyFill="1" applyBorder="1"/>
    <xf numFmtId="3" fontId="24" fillId="0" borderId="1" xfId="0" applyNumberFormat="1" applyFont="1" applyBorder="1"/>
    <xf numFmtId="3" fontId="25" fillId="0" borderId="1" xfId="0" applyNumberFormat="1" applyFont="1" applyBorder="1"/>
    <xf numFmtId="3" fontId="8" fillId="10" borderId="0" xfId="2" applyNumberFormat="1" applyFill="1"/>
    <xf numFmtId="0" fontId="7" fillId="10" borderId="0" xfId="2" applyFont="1" applyFill="1"/>
    <xf numFmtId="0" fontId="6" fillId="10" borderId="0" xfId="2" applyFont="1" applyFill="1"/>
    <xf numFmtId="0" fontId="5" fillId="10" borderId="0" xfId="2" applyFont="1" applyFill="1"/>
    <xf numFmtId="0" fontId="20" fillId="0" borderId="0" xfId="0" applyFont="1"/>
    <xf numFmtId="0" fontId="9" fillId="0" borderId="10" xfId="0" applyFont="1" applyBorder="1" applyAlignment="1">
      <alignment horizontal="left" vertical="center"/>
    </xf>
    <xf numFmtId="0" fontId="9" fillId="0" borderId="10" xfId="0" applyFont="1" applyBorder="1" applyAlignment="1">
      <alignment vertical="center"/>
    </xf>
    <xf numFmtId="3" fontId="0" fillId="0" borderId="10" xfId="0" applyNumberFormat="1" applyBorder="1"/>
    <xf numFmtId="0" fontId="9" fillId="0" borderId="2" xfId="0" applyFont="1" applyBorder="1" applyAlignment="1">
      <alignment horizontal="left" vertical="center"/>
    </xf>
    <xf numFmtId="0" fontId="9" fillId="0" borderId="2" xfId="0" applyFont="1" applyBorder="1" applyAlignment="1">
      <alignment vertical="center"/>
    </xf>
    <xf numFmtId="3" fontId="0" fillId="0" borderId="2" xfId="0" applyNumberFormat="1" applyBorder="1"/>
    <xf numFmtId="0" fontId="9" fillId="0" borderId="2" xfId="0" applyNumberFormat="1" applyFont="1" applyBorder="1" applyAlignment="1">
      <alignment horizontal="left" vertical="center"/>
    </xf>
    <xf numFmtId="0" fontId="9" fillId="0" borderId="2" xfId="0" applyNumberFormat="1" applyFont="1" applyBorder="1" applyAlignment="1">
      <alignment vertical="center"/>
    </xf>
    <xf numFmtId="0" fontId="9" fillId="0" borderId="9" xfId="0" applyNumberFormat="1" applyFont="1" applyBorder="1" applyAlignment="1">
      <alignment horizontal="left" vertical="center"/>
    </xf>
    <xf numFmtId="3" fontId="0" fillId="0" borderId="9" xfId="0" applyNumberFormat="1" applyBorder="1"/>
    <xf numFmtId="3" fontId="0" fillId="9" borderId="10" xfId="0" applyNumberFormat="1" applyFill="1" applyBorder="1"/>
    <xf numFmtId="3" fontId="0" fillId="9" borderId="2" xfId="0" applyNumberFormat="1" applyFill="1" applyBorder="1"/>
    <xf numFmtId="3" fontId="0" fillId="9" borderId="9" xfId="0" applyNumberFormat="1" applyFill="1" applyBorder="1"/>
    <xf numFmtId="3" fontId="9" fillId="0" borderId="0" xfId="0" applyNumberFormat="1" applyFont="1" applyFill="1"/>
    <xf numFmtId="0" fontId="0" fillId="0" borderId="0" xfId="0" applyFill="1"/>
    <xf numFmtId="0" fontId="9" fillId="5" borderId="2" xfId="0" applyFont="1" applyFill="1" applyBorder="1" applyAlignment="1">
      <alignment horizontal="left" vertical="center"/>
    </xf>
    <xf numFmtId="0" fontId="9" fillId="5" borderId="2" xfId="0" applyFont="1" applyFill="1" applyBorder="1" applyAlignment="1">
      <alignment vertical="center"/>
    </xf>
    <xf numFmtId="0" fontId="17" fillId="0" borderId="2" xfId="2" applyFont="1" applyBorder="1" applyAlignment="1">
      <alignment horizontal="right" vertical="center" wrapText="1"/>
    </xf>
    <xf numFmtId="0" fontId="17" fillId="0" borderId="2" xfId="2" applyFont="1" applyBorder="1" applyAlignment="1">
      <alignment horizontal="justify" vertical="center" wrapText="1"/>
    </xf>
    <xf numFmtId="0" fontId="17" fillId="0" borderId="9" xfId="2" applyFont="1" applyBorder="1" applyAlignment="1">
      <alignment horizontal="right" vertical="center" wrapText="1"/>
    </xf>
    <xf numFmtId="0" fontId="17" fillId="0" borderId="9" xfId="2" applyFont="1" applyBorder="1" applyAlignment="1">
      <alignment horizontal="justify" vertical="center" wrapText="1"/>
    </xf>
    <xf numFmtId="0" fontId="17" fillId="0" borderId="1" xfId="2" applyFont="1" applyBorder="1" applyAlignment="1">
      <alignment horizontal="right" vertical="center" wrapText="1"/>
    </xf>
    <xf numFmtId="0" fontId="17" fillId="0" borderId="1" xfId="2" applyFont="1" applyBorder="1" applyAlignment="1">
      <alignment horizontal="justify" vertical="center" wrapText="1"/>
    </xf>
    <xf numFmtId="3" fontId="8" fillId="0" borderId="1" xfId="2" applyNumberFormat="1" applyBorder="1"/>
    <xf numFmtId="0" fontId="17" fillId="0" borderId="10" xfId="2" applyFont="1" applyBorder="1" applyAlignment="1">
      <alignment horizontal="right" vertical="center" wrapText="1"/>
    </xf>
    <xf numFmtId="0" fontId="17" fillId="0" borderId="10" xfId="2" applyFont="1" applyBorder="1" applyAlignment="1">
      <alignment horizontal="justify" vertical="center" wrapText="1"/>
    </xf>
    <xf numFmtId="3" fontId="8" fillId="0" borderId="10" xfId="2" applyNumberFormat="1" applyBorder="1"/>
    <xf numFmtId="3" fontId="8" fillId="0" borderId="9" xfId="2" applyNumberFormat="1" applyBorder="1"/>
    <xf numFmtId="0" fontId="28" fillId="0" borderId="1" xfId="2" applyFont="1" applyBorder="1" applyAlignment="1">
      <alignment horizontal="right" vertical="center" wrapText="1"/>
    </xf>
    <xf numFmtId="3" fontId="18" fillId="0" borderId="1" xfId="2" applyNumberFormat="1" applyFont="1" applyBorder="1"/>
    <xf numFmtId="3" fontId="8" fillId="0" borderId="2" xfId="2" applyNumberFormat="1" applyBorder="1"/>
    <xf numFmtId="164" fontId="8" fillId="0" borderId="1" xfId="2" applyNumberFormat="1" applyBorder="1" applyAlignment="1">
      <alignment horizontal="center"/>
    </xf>
    <xf numFmtId="164" fontId="8" fillId="0" borderId="10" xfId="2" applyNumberFormat="1" applyBorder="1" applyAlignment="1">
      <alignment horizontal="center"/>
    </xf>
    <xf numFmtId="164" fontId="8" fillId="0" borderId="2" xfId="2" applyNumberFormat="1" applyBorder="1" applyAlignment="1">
      <alignment horizontal="center"/>
    </xf>
    <xf numFmtId="164" fontId="8" fillId="0" borderId="9" xfId="2" applyNumberFormat="1" applyBorder="1" applyAlignment="1">
      <alignment horizontal="center"/>
    </xf>
    <xf numFmtId="164" fontId="18" fillId="0" borderId="1" xfId="2" applyNumberFormat="1" applyFont="1" applyBorder="1" applyAlignment="1">
      <alignment horizontal="center"/>
    </xf>
    <xf numFmtId="0" fontId="10" fillId="10" borderId="1" xfId="0" applyFont="1" applyFill="1" applyBorder="1" applyAlignment="1">
      <alignment horizontal="center"/>
    </xf>
    <xf numFmtId="0" fontId="20" fillId="9" borderId="1" xfId="0" applyFont="1" applyFill="1" applyBorder="1" applyAlignment="1">
      <alignment horizontal="center"/>
    </xf>
    <xf numFmtId="0" fontId="20" fillId="0" borderId="1" xfId="0" applyFont="1" applyBorder="1" applyAlignment="1">
      <alignment horizontal="center"/>
    </xf>
    <xf numFmtId="0" fontId="4" fillId="0" borderId="0" xfId="2" applyFont="1"/>
    <xf numFmtId="3" fontId="8" fillId="0" borderId="0" xfId="2" applyNumberFormat="1"/>
    <xf numFmtId="9" fontId="8" fillId="0" borderId="0" xfId="2" applyNumberFormat="1" applyAlignment="1">
      <alignment horizontal="center"/>
    </xf>
    <xf numFmtId="0" fontId="10" fillId="8" borderId="1" xfId="0" applyFont="1" applyFill="1" applyBorder="1" applyAlignment="1">
      <alignment horizontal="center"/>
    </xf>
    <xf numFmtId="0" fontId="10" fillId="9" borderId="1" xfId="0" applyFont="1" applyFill="1" applyBorder="1" applyAlignment="1">
      <alignment horizontal="center"/>
    </xf>
    <xf numFmtId="0" fontId="10" fillId="7" borderId="1" xfId="0" applyFont="1" applyFill="1" applyBorder="1" applyAlignment="1">
      <alignment horizontal="center"/>
    </xf>
    <xf numFmtId="0" fontId="14" fillId="10" borderId="1" xfId="0" applyFont="1" applyFill="1" applyBorder="1" applyAlignment="1">
      <alignment horizontal="center" wrapText="1"/>
    </xf>
    <xf numFmtId="3" fontId="10" fillId="0" borderId="11" xfId="0" applyNumberFormat="1" applyFont="1" applyBorder="1"/>
    <xf numFmtId="0" fontId="29" fillId="0" borderId="0" xfId="0" applyFont="1" applyAlignment="1">
      <alignment horizontal="center"/>
    </xf>
    <xf numFmtId="165" fontId="10" fillId="0" borderId="11" xfId="0" applyNumberFormat="1" applyFont="1" applyBorder="1" applyAlignment="1">
      <alignment horizontal="center"/>
    </xf>
    <xf numFmtId="4" fontId="0" fillId="9" borderId="10" xfId="0" applyNumberFormat="1" applyFill="1" applyBorder="1" applyAlignment="1">
      <alignment horizontal="center"/>
    </xf>
    <xf numFmtId="4" fontId="0" fillId="9" borderId="2" xfId="0" applyNumberFormat="1" applyFill="1" applyBorder="1" applyAlignment="1">
      <alignment horizontal="center"/>
    </xf>
    <xf numFmtId="4" fontId="0" fillId="9" borderId="9" xfId="0" applyNumberFormat="1" applyFill="1" applyBorder="1" applyAlignment="1">
      <alignment horizontal="center"/>
    </xf>
    <xf numFmtId="0" fontId="30" fillId="9" borderId="1" xfId="0" applyFont="1" applyFill="1" applyBorder="1" applyAlignment="1">
      <alignment horizontal="center" wrapText="1"/>
    </xf>
    <xf numFmtId="10" fontId="0" fillId="9" borderId="10" xfId="0" applyNumberFormat="1" applyFill="1" applyBorder="1" applyAlignment="1">
      <alignment horizontal="center"/>
    </xf>
    <xf numFmtId="10" fontId="0" fillId="9" borderId="2" xfId="0" applyNumberFormat="1" applyFill="1" applyBorder="1" applyAlignment="1">
      <alignment horizontal="center"/>
    </xf>
    <xf numFmtId="4" fontId="0" fillId="0" borderId="10" xfId="0" applyNumberFormat="1" applyBorder="1"/>
    <xf numFmtId="4" fontId="0" fillId="0" borderId="2" xfId="0" applyNumberFormat="1" applyBorder="1"/>
    <xf numFmtId="4" fontId="0" fillId="0" borderId="9" xfId="0" applyNumberFormat="1" applyBorder="1"/>
    <xf numFmtId="10" fontId="0" fillId="0" borderId="10" xfId="0" applyNumberFormat="1" applyBorder="1" applyAlignment="1">
      <alignment horizontal="center"/>
    </xf>
    <xf numFmtId="10" fontId="0" fillId="0" borderId="2" xfId="0" applyNumberFormat="1" applyBorder="1" applyAlignment="1">
      <alignment horizontal="center"/>
    </xf>
    <xf numFmtId="4" fontId="0" fillId="0" borderId="0" xfId="0" applyNumberFormat="1"/>
    <xf numFmtId="4" fontId="30" fillId="9" borderId="1" xfId="0" applyNumberFormat="1" applyFont="1" applyFill="1" applyBorder="1" applyAlignment="1">
      <alignment horizontal="center" wrapText="1"/>
    </xf>
    <xf numFmtId="0" fontId="30" fillId="6" borderId="1" xfId="0" applyFont="1" applyFill="1" applyBorder="1" applyAlignment="1">
      <alignment horizontal="center" wrapText="1"/>
    </xf>
    <xf numFmtId="4" fontId="30" fillId="9" borderId="21" xfId="0" applyNumberFormat="1" applyFont="1" applyFill="1" applyBorder="1" applyAlignment="1">
      <alignment horizontal="center" wrapText="1"/>
    </xf>
    <xf numFmtId="2" fontId="0" fillId="9" borderId="5" xfId="0" applyNumberFormat="1" applyFill="1" applyBorder="1" applyAlignment="1">
      <alignment horizontal="center"/>
    </xf>
    <xf numFmtId="0" fontId="20" fillId="0" borderId="31" xfId="0" applyFont="1" applyBorder="1" applyAlignment="1">
      <alignment horizontal="center"/>
    </xf>
    <xf numFmtId="3" fontId="0" fillId="0" borderId="32" xfId="0" applyNumberFormat="1" applyBorder="1"/>
    <xf numFmtId="2" fontId="0" fillId="9" borderId="3" xfId="0" applyNumberFormat="1" applyFill="1" applyBorder="1" applyAlignment="1">
      <alignment horizontal="center"/>
    </xf>
    <xf numFmtId="3" fontId="0" fillId="0" borderId="33" xfId="0" applyNumberFormat="1" applyBorder="1"/>
    <xf numFmtId="0" fontId="0" fillId="8" borderId="2" xfId="0" applyFill="1" applyBorder="1"/>
    <xf numFmtId="0" fontId="0" fillId="8" borderId="9" xfId="0" applyFill="1" applyBorder="1"/>
    <xf numFmtId="0" fontId="30" fillId="8" borderId="1" xfId="0" applyFont="1" applyFill="1" applyBorder="1" applyAlignment="1">
      <alignment horizontal="center" wrapText="1"/>
    </xf>
    <xf numFmtId="3" fontId="9" fillId="0" borderId="0" xfId="3" applyNumberFormat="1" applyFont="1" applyFill="1" applyBorder="1" applyAlignment="1">
      <alignment horizontal="right" vertical="center"/>
    </xf>
    <xf numFmtId="3" fontId="9" fillId="6" borderId="0" xfId="3" applyNumberFormat="1" applyFont="1" applyFill="1" applyBorder="1" applyAlignment="1">
      <alignment horizontal="right" vertical="center"/>
    </xf>
    <xf numFmtId="0" fontId="31" fillId="0" borderId="0" xfId="0" applyFont="1"/>
    <xf numFmtId="3" fontId="10" fillId="0" borderId="0" xfId="3" applyNumberFormat="1" applyFont="1" applyFill="1" applyBorder="1" applyAlignment="1">
      <alignment horizontal="right" vertical="center"/>
    </xf>
    <xf numFmtId="1" fontId="10" fillId="9" borderId="1" xfId="0" applyNumberFormat="1" applyFont="1" applyFill="1" applyBorder="1" applyAlignment="1">
      <alignment horizontal="center"/>
    </xf>
    <xf numFmtId="1" fontId="10" fillId="8" borderId="1" xfId="0" applyNumberFormat="1" applyFont="1" applyFill="1" applyBorder="1" applyAlignment="1">
      <alignment horizontal="center"/>
    </xf>
    <xf numFmtId="4" fontId="10" fillId="7" borderId="1" xfId="0" applyNumberFormat="1" applyFont="1" applyFill="1" applyBorder="1"/>
    <xf numFmtId="0" fontId="20" fillId="8" borderId="22" xfId="0" applyFont="1" applyFill="1" applyBorder="1" applyAlignment="1">
      <alignment horizontal="center"/>
    </xf>
    <xf numFmtId="0" fontId="30" fillId="6" borderId="35" xfId="0" applyFont="1" applyFill="1" applyBorder="1" applyAlignment="1">
      <alignment horizontal="center" wrapText="1"/>
    </xf>
    <xf numFmtId="4" fontId="0" fillId="9" borderId="10" xfId="0" applyNumberFormat="1" applyFill="1" applyBorder="1"/>
    <xf numFmtId="4" fontId="0" fillId="9" borderId="2" xfId="0" applyNumberFormat="1" applyFill="1" applyBorder="1"/>
    <xf numFmtId="4" fontId="0" fillId="9" borderId="9" xfId="0" applyNumberFormat="1" applyFill="1" applyBorder="1"/>
    <xf numFmtId="10" fontId="0" fillId="9" borderId="9" xfId="0" applyNumberFormat="1" applyFill="1" applyBorder="1" applyAlignment="1">
      <alignment horizontal="center"/>
    </xf>
    <xf numFmtId="2" fontId="0" fillId="9" borderId="7" xfId="0" applyNumberFormat="1" applyFill="1" applyBorder="1" applyAlignment="1">
      <alignment horizontal="center"/>
    </xf>
    <xf numFmtId="3" fontId="0" fillId="0" borderId="38" xfId="0" applyNumberFormat="1" applyBorder="1"/>
    <xf numFmtId="10" fontId="0" fillId="0" borderId="9" xfId="0" applyNumberFormat="1" applyBorder="1" applyAlignment="1">
      <alignment horizontal="center"/>
    </xf>
    <xf numFmtId="4" fontId="25" fillId="0" borderId="1" xfId="0" applyNumberFormat="1" applyFont="1" applyBorder="1"/>
    <xf numFmtId="3" fontId="9" fillId="9" borderId="1" xfId="0" applyNumberFormat="1" applyFont="1" applyFill="1" applyBorder="1"/>
    <xf numFmtId="0" fontId="15" fillId="3" borderId="0" xfId="4" applyFont="1" applyFill="1"/>
    <xf numFmtId="3" fontId="15" fillId="3" borderId="0" xfId="4" applyNumberFormat="1" applyFont="1" applyFill="1"/>
    <xf numFmtId="0" fontId="15" fillId="4" borderId="0" xfId="4" applyFont="1" applyFill="1"/>
    <xf numFmtId="0" fontId="15" fillId="0" borderId="0" xfId="4" applyFont="1"/>
    <xf numFmtId="4" fontId="15" fillId="0" borderId="0" xfId="4" applyNumberFormat="1" applyFont="1"/>
    <xf numFmtId="0" fontId="16" fillId="3" borderId="0" xfId="4" applyFont="1" applyFill="1"/>
    <xf numFmtId="0" fontId="11" fillId="3" borderId="3" xfId="4" applyFont="1" applyFill="1" applyBorder="1"/>
    <xf numFmtId="0" fontId="11" fillId="0" borderId="0" xfId="4" applyFont="1"/>
    <xf numFmtId="4" fontId="11" fillId="0" borderId="0" xfId="4" applyNumberFormat="1" applyFont="1"/>
    <xf numFmtId="0" fontId="11" fillId="3" borderId="28" xfId="4" applyFont="1" applyFill="1" applyBorder="1"/>
    <xf numFmtId="0" fontId="11" fillId="0" borderId="12" xfId="4" applyFont="1" applyBorder="1" applyAlignment="1">
      <alignment horizontal="center"/>
    </xf>
    <xf numFmtId="0" fontId="11" fillId="0" borderId="13" xfId="4" applyFont="1" applyBorder="1" applyAlignment="1">
      <alignment horizontal="center"/>
    </xf>
    <xf numFmtId="0" fontId="9" fillId="0" borderId="5" xfId="4" applyBorder="1"/>
    <xf numFmtId="0" fontId="9" fillId="0" borderId="12" xfId="4" applyBorder="1"/>
    <xf numFmtId="0" fontId="9" fillId="0" borderId="13" xfId="4" applyBorder="1"/>
    <xf numFmtId="0" fontId="9" fillId="0" borderId="0" xfId="4"/>
    <xf numFmtId="4" fontId="9" fillId="0" borderId="0" xfId="4" applyNumberFormat="1"/>
    <xf numFmtId="3" fontId="9" fillId="2" borderId="14" xfId="4" applyNumberFormat="1" applyFill="1" applyBorder="1"/>
    <xf numFmtId="3" fontId="9" fillId="0" borderId="15" xfId="4" applyNumberFormat="1" applyBorder="1"/>
    <xf numFmtId="3" fontId="9" fillId="2" borderId="16" xfId="4" applyNumberFormat="1" applyFill="1" applyBorder="1"/>
    <xf numFmtId="3" fontId="9" fillId="0" borderId="16" xfId="4" applyNumberFormat="1" applyBorder="1"/>
    <xf numFmtId="3" fontId="9" fillId="2" borderId="17" xfId="4" applyNumberFormat="1" applyFill="1" applyBorder="1"/>
    <xf numFmtId="0" fontId="9" fillId="0" borderId="5" xfId="4" applyFont="1" applyBorder="1"/>
    <xf numFmtId="3" fontId="9" fillId="0" borderId="16" xfId="4" applyNumberFormat="1" applyFill="1" applyBorder="1"/>
    <xf numFmtId="3" fontId="9" fillId="0" borderId="27" xfId="4" applyNumberFormat="1" applyFill="1" applyBorder="1"/>
    <xf numFmtId="3" fontId="9" fillId="0" borderId="27" xfId="4" applyNumberFormat="1" applyBorder="1"/>
    <xf numFmtId="3" fontId="9" fillId="2" borderId="27" xfId="4" applyNumberFormat="1" applyFill="1" applyBorder="1"/>
    <xf numFmtId="3" fontId="9" fillId="2" borderId="26" xfId="4" applyNumberFormat="1" applyFill="1" applyBorder="1"/>
    <xf numFmtId="3" fontId="9" fillId="0" borderId="19" xfId="4" applyNumberFormat="1" applyBorder="1"/>
    <xf numFmtId="3" fontId="9" fillId="0" borderId="20" xfId="4" applyNumberFormat="1" applyBorder="1"/>
    <xf numFmtId="0" fontId="11" fillId="0" borderId="7" xfId="4" applyFont="1" applyBorder="1"/>
    <xf numFmtId="0" fontId="10" fillId="0" borderId="0" xfId="4" applyFont="1"/>
    <xf numFmtId="3" fontId="10" fillId="0" borderId="0" xfId="4" applyNumberFormat="1" applyFont="1"/>
    <xf numFmtId="10" fontId="11" fillId="0" borderId="0" xfId="4" applyNumberFormat="1" applyFont="1" applyFill="1"/>
    <xf numFmtId="0" fontId="10" fillId="0" borderId="0" xfId="4" applyFont="1" applyFill="1"/>
    <xf numFmtId="4" fontId="10" fillId="0" borderId="0" xfId="4" applyNumberFormat="1" applyFont="1" applyFill="1"/>
    <xf numFmtId="0" fontId="9" fillId="0" borderId="0" xfId="4" applyFont="1"/>
    <xf numFmtId="3" fontId="9" fillId="0" borderId="0" xfId="4" applyNumberFormat="1"/>
    <xf numFmtId="0" fontId="9" fillId="0" borderId="0" xfId="4" applyFill="1"/>
    <xf numFmtId="4" fontId="9" fillId="0" borderId="0" xfId="4" applyNumberFormat="1" applyFill="1"/>
    <xf numFmtId="10" fontId="9" fillId="0" borderId="0" xfId="4" applyNumberFormat="1" applyFill="1"/>
    <xf numFmtId="0" fontId="0" fillId="0" borderId="0" xfId="0" applyAlignment="1">
      <alignment horizontal="center"/>
    </xf>
    <xf numFmtId="10" fontId="0" fillId="5" borderId="2" xfId="0" applyNumberFormat="1" applyFill="1" applyBorder="1" applyAlignment="1">
      <alignment horizontal="center"/>
    </xf>
    <xf numFmtId="0" fontId="0" fillId="5" borderId="2" xfId="0" applyFill="1" applyBorder="1"/>
    <xf numFmtId="3" fontId="0" fillId="5" borderId="2" xfId="0" applyNumberFormat="1" applyFill="1" applyBorder="1"/>
    <xf numFmtId="4" fontId="0" fillId="5" borderId="2" xfId="0" applyNumberFormat="1" applyFill="1" applyBorder="1" applyAlignment="1">
      <alignment horizontal="center"/>
    </xf>
    <xf numFmtId="4" fontId="0" fillId="5" borderId="2" xfId="0" applyNumberFormat="1" applyFill="1" applyBorder="1"/>
    <xf numFmtId="2" fontId="0" fillId="5" borderId="5" xfId="0" applyNumberFormat="1" applyFill="1" applyBorder="1" applyAlignment="1">
      <alignment horizontal="center"/>
    </xf>
    <xf numFmtId="3" fontId="0" fillId="5" borderId="32" xfId="0" applyNumberFormat="1" applyFill="1" applyBorder="1"/>
    <xf numFmtId="10" fontId="30" fillId="6" borderId="2" xfId="0" applyNumberFormat="1" applyFont="1" applyFill="1" applyBorder="1" applyAlignment="1">
      <alignment horizontal="center"/>
    </xf>
    <xf numFmtId="0" fontId="24" fillId="9" borderId="1" xfId="0" applyFont="1" applyFill="1" applyBorder="1" applyAlignment="1">
      <alignment horizontal="center" wrapText="1"/>
    </xf>
    <xf numFmtId="0" fontId="24" fillId="6" borderId="1" xfId="0" applyFont="1" applyFill="1" applyBorder="1" applyAlignment="1">
      <alignment horizontal="center" wrapText="1"/>
    </xf>
    <xf numFmtId="0" fontId="24" fillId="8" borderId="1" xfId="0" applyFont="1" applyFill="1" applyBorder="1" applyAlignment="1">
      <alignment horizontal="center" wrapText="1"/>
    </xf>
    <xf numFmtId="10" fontId="32" fillId="6" borderId="10" xfId="0" applyNumberFormat="1" applyFont="1" applyFill="1" applyBorder="1" applyAlignment="1">
      <alignment horizontal="center"/>
    </xf>
    <xf numFmtId="0" fontId="24" fillId="8" borderId="2" xfId="0" applyFont="1" applyFill="1" applyBorder="1" applyAlignment="1">
      <alignment horizontal="center"/>
    </xf>
    <xf numFmtId="10" fontId="32" fillId="6" borderId="2" xfId="0" applyNumberFormat="1" applyFont="1" applyFill="1" applyBorder="1" applyAlignment="1">
      <alignment horizontal="center"/>
    </xf>
    <xf numFmtId="0" fontId="32" fillId="0" borderId="1" xfId="0" applyFont="1" applyBorder="1"/>
    <xf numFmtId="0" fontId="32" fillId="0" borderId="0" xfId="0" applyFont="1"/>
    <xf numFmtId="0" fontId="32" fillId="0" borderId="10" xfId="0" applyFont="1" applyBorder="1" applyAlignment="1">
      <alignment horizontal="left" vertical="center"/>
    </xf>
    <xf numFmtId="0" fontId="32" fillId="0" borderId="10" xfId="0" applyFont="1" applyBorder="1" applyAlignment="1">
      <alignment vertical="center"/>
    </xf>
    <xf numFmtId="10" fontId="32" fillId="9" borderId="10" xfId="0" applyNumberFormat="1" applyFont="1" applyFill="1" applyBorder="1" applyAlignment="1">
      <alignment horizontal="center"/>
    </xf>
    <xf numFmtId="2" fontId="32" fillId="9" borderId="10" xfId="0" applyNumberFormat="1" applyFont="1" applyFill="1" applyBorder="1" applyAlignment="1">
      <alignment horizontal="center" vertical="center"/>
    </xf>
    <xf numFmtId="0" fontId="32" fillId="0" borderId="2" xfId="0" applyFont="1" applyBorder="1" applyAlignment="1">
      <alignment horizontal="left" vertical="center"/>
    </xf>
    <xf numFmtId="0" fontId="32" fillId="0" borderId="2" xfId="0" applyFont="1" applyBorder="1" applyAlignment="1">
      <alignment vertical="center"/>
    </xf>
    <xf numFmtId="10" fontId="32" fillId="9" borderId="2" xfId="0" applyNumberFormat="1" applyFont="1" applyFill="1" applyBorder="1" applyAlignment="1">
      <alignment horizontal="center"/>
    </xf>
    <xf numFmtId="2" fontId="32" fillId="9" borderId="2" xfId="0" applyNumberFormat="1" applyFont="1" applyFill="1" applyBorder="1" applyAlignment="1">
      <alignment horizontal="center" vertical="center"/>
    </xf>
    <xf numFmtId="0" fontId="32" fillId="8" borderId="2" xfId="0" applyFont="1" applyFill="1" applyBorder="1"/>
    <xf numFmtId="0" fontId="32" fillId="5" borderId="2" xfId="0" applyFont="1" applyFill="1" applyBorder="1" applyAlignment="1">
      <alignment horizontal="left" vertical="center"/>
    </xf>
    <xf numFmtId="0" fontId="32" fillId="5" borderId="2" xfId="0" applyFont="1" applyFill="1" applyBorder="1" applyAlignment="1">
      <alignment vertical="center"/>
    </xf>
    <xf numFmtId="2" fontId="32" fillId="5" borderId="2" xfId="0" applyNumberFormat="1" applyFont="1" applyFill="1" applyBorder="1" applyAlignment="1">
      <alignment horizontal="center" vertical="center"/>
    </xf>
    <xf numFmtId="0" fontId="32" fillId="5" borderId="2" xfId="0" applyFont="1" applyFill="1" applyBorder="1"/>
    <xf numFmtId="0" fontId="32" fillId="0" borderId="2" xfId="0" applyNumberFormat="1" applyFont="1" applyBorder="1" applyAlignment="1">
      <alignment horizontal="left" vertical="center"/>
    </xf>
    <xf numFmtId="0" fontId="32" fillId="0" borderId="2" xfId="0" applyNumberFormat="1" applyFont="1" applyBorder="1" applyAlignment="1">
      <alignment vertical="center"/>
    </xf>
    <xf numFmtId="0" fontId="32" fillId="0" borderId="9" xfId="0" applyFont="1" applyBorder="1" applyAlignment="1">
      <alignment horizontal="left" vertical="center"/>
    </xf>
    <xf numFmtId="0" fontId="32" fillId="0" borderId="9" xfId="0" applyFont="1" applyBorder="1" applyAlignment="1">
      <alignment vertical="center"/>
    </xf>
    <xf numFmtId="0" fontId="32" fillId="6" borderId="2" xfId="0" applyFont="1" applyFill="1" applyBorder="1" applyAlignment="1">
      <alignment horizontal="left" vertical="center"/>
    </xf>
    <xf numFmtId="0" fontId="32" fillId="6" borderId="2" xfId="0" applyFont="1" applyFill="1" applyBorder="1" applyAlignment="1">
      <alignment vertical="center"/>
    </xf>
    <xf numFmtId="0" fontId="32" fillId="6" borderId="2" xfId="0" applyFont="1" applyFill="1" applyBorder="1"/>
    <xf numFmtId="0" fontId="32" fillId="6" borderId="0" xfId="0" applyFont="1" applyFill="1"/>
    <xf numFmtId="0" fontId="9" fillId="0" borderId="0" xfId="6" applyFont="1" applyBorder="1" applyAlignment="1">
      <alignment horizontal="left" vertical="center"/>
    </xf>
    <xf numFmtId="0" fontId="10" fillId="0" borderId="0" xfId="6" applyFont="1" applyBorder="1" applyAlignment="1">
      <alignment horizontal="left" vertical="center"/>
    </xf>
    <xf numFmtId="0" fontId="10" fillId="0" borderId="0" xfId="6" applyFont="1" applyBorder="1" applyAlignment="1">
      <alignment vertical="center"/>
    </xf>
    <xf numFmtId="0" fontId="9" fillId="0" borderId="0" xfId="6" applyFont="1" applyBorder="1" applyAlignment="1">
      <alignment vertical="center"/>
    </xf>
    <xf numFmtId="0" fontId="9" fillId="0" borderId="0" xfId="6" applyFont="1" applyBorder="1" applyAlignment="1">
      <alignment horizontal="right" vertical="center"/>
    </xf>
    <xf numFmtId="0" fontId="11" fillId="0" borderId="0" xfId="6" applyFont="1" applyBorder="1" applyAlignment="1">
      <alignment horizontal="left" vertical="center"/>
    </xf>
    <xf numFmtId="0" fontId="11" fillId="0" borderId="0" xfId="6" applyFont="1" applyBorder="1" applyAlignment="1">
      <alignment vertical="center"/>
    </xf>
    <xf numFmtId="0" fontId="9" fillId="0" borderId="1" xfId="6" applyFont="1" applyBorder="1" applyAlignment="1">
      <alignment horizontal="right" vertical="center"/>
    </xf>
    <xf numFmtId="0" fontId="9" fillId="0" borderId="3" xfId="6" applyFont="1" applyFill="1" applyBorder="1" applyAlignment="1">
      <alignment horizontal="left" vertical="center"/>
    </xf>
    <xf numFmtId="0" fontId="9" fillId="0" borderId="4" xfId="6" applyFont="1" applyFill="1" applyBorder="1" applyAlignment="1">
      <alignment vertical="center"/>
    </xf>
    <xf numFmtId="4" fontId="9" fillId="0" borderId="3" xfId="6" applyNumberFormat="1" applyFont="1" applyFill="1" applyBorder="1" applyAlignment="1">
      <alignment vertical="center"/>
    </xf>
    <xf numFmtId="4" fontId="9" fillId="0" borderId="10" xfId="6" applyNumberFormat="1" applyFont="1" applyFill="1" applyBorder="1" applyAlignment="1">
      <alignment vertical="center"/>
    </xf>
    <xf numFmtId="0" fontId="9" fillId="0" borderId="5" xfId="6" applyFont="1" applyFill="1" applyBorder="1" applyAlignment="1">
      <alignment horizontal="left" vertical="center"/>
    </xf>
    <xf numFmtId="0" fontId="9" fillId="0" borderId="6" xfId="6" applyFont="1" applyFill="1" applyBorder="1" applyAlignment="1">
      <alignment vertical="center"/>
    </xf>
    <xf numFmtId="4" fontId="9" fillId="0" borderId="5" xfId="6" applyNumberFormat="1" applyFont="1" applyFill="1" applyBorder="1" applyAlignment="1">
      <alignment vertical="center"/>
    </xf>
    <xf numFmtId="4" fontId="9" fillId="0" borderId="2" xfId="6" applyNumberFormat="1" applyFont="1" applyFill="1" applyBorder="1" applyAlignment="1">
      <alignment vertical="center"/>
    </xf>
    <xf numFmtId="0" fontId="9" fillId="0" borderId="7" xfId="6" applyFont="1" applyFill="1" applyBorder="1" applyAlignment="1">
      <alignment horizontal="left" vertical="center"/>
    </xf>
    <xf numFmtId="0" fontId="9" fillId="0" borderId="8" xfId="6" applyFont="1" applyFill="1" applyBorder="1" applyAlignment="1">
      <alignment vertical="center"/>
    </xf>
    <xf numFmtId="4" fontId="9" fillId="0" borderId="7" xfId="6" applyNumberFormat="1" applyFont="1" applyFill="1" applyBorder="1" applyAlignment="1">
      <alignment vertical="center"/>
    </xf>
    <xf numFmtId="4" fontId="9" fillId="0" borderId="9" xfId="6" applyNumberFormat="1" applyFont="1" applyFill="1" applyBorder="1" applyAlignment="1">
      <alignment vertical="center"/>
    </xf>
    <xf numFmtId="0" fontId="9" fillId="0" borderId="0" xfId="6" applyFont="1" applyFill="1" applyBorder="1" applyAlignment="1">
      <alignment vertical="center"/>
    </xf>
    <xf numFmtId="0" fontId="10" fillId="0" borderId="5" xfId="6" applyFont="1" applyFill="1" applyBorder="1" applyAlignment="1">
      <alignment horizontal="left" vertical="center"/>
    </xf>
    <xf numFmtId="0" fontId="10" fillId="0" borderId="6" xfId="6" applyFont="1" applyFill="1" applyBorder="1" applyAlignment="1">
      <alignment vertical="center"/>
    </xf>
    <xf numFmtId="4" fontId="9" fillId="0" borderId="2" xfId="6" applyNumberFormat="1" applyFont="1" applyBorder="1" applyAlignment="1">
      <alignment vertical="center"/>
    </xf>
    <xf numFmtId="4" fontId="10" fillId="0" borderId="2" xfId="6" applyNumberFormat="1" applyFont="1" applyBorder="1" applyAlignment="1">
      <alignment vertical="center"/>
    </xf>
    <xf numFmtId="0" fontId="11" fillId="0" borderId="5" xfId="6" applyFont="1" applyFill="1" applyBorder="1" applyAlignment="1">
      <alignment horizontal="left" vertical="center"/>
    </xf>
    <xf numFmtId="0" fontId="11" fillId="0" borderId="6" xfId="6" applyFont="1" applyFill="1" applyBorder="1" applyAlignment="1">
      <alignment vertical="center"/>
    </xf>
    <xf numFmtId="4" fontId="11" fillId="0" borderId="2" xfId="6" applyNumberFormat="1" applyFont="1" applyBorder="1" applyAlignment="1">
      <alignment vertical="center"/>
    </xf>
    <xf numFmtId="0" fontId="11" fillId="0" borderId="2" xfId="6" applyFont="1" applyBorder="1" applyAlignment="1">
      <alignment vertical="center"/>
    </xf>
    <xf numFmtId="0" fontId="10" fillId="0" borderId="7" xfId="6" applyFont="1" applyFill="1" applyBorder="1" applyAlignment="1">
      <alignment horizontal="left" vertical="center"/>
    </xf>
    <xf numFmtId="0" fontId="10" fillId="0" borderId="8" xfId="6" applyFont="1" applyFill="1" applyBorder="1" applyAlignment="1">
      <alignment vertical="center"/>
    </xf>
    <xf numFmtId="0" fontId="10" fillId="0" borderId="9" xfId="6" applyFont="1" applyBorder="1" applyAlignment="1">
      <alignment vertical="center"/>
    </xf>
    <xf numFmtId="4" fontId="10" fillId="0" borderId="0" xfId="6" applyNumberFormat="1" applyFont="1" applyBorder="1" applyAlignment="1">
      <alignment vertical="center"/>
    </xf>
    <xf numFmtId="10" fontId="10" fillId="0" borderId="0" xfId="6" applyNumberFormat="1" applyFont="1" applyBorder="1" applyAlignment="1">
      <alignment vertical="center"/>
    </xf>
    <xf numFmtId="4" fontId="11" fillId="0" borderId="0" xfId="6" applyNumberFormat="1" applyFont="1" applyBorder="1" applyAlignment="1">
      <alignment vertical="center"/>
    </xf>
    <xf numFmtId="10" fontId="11" fillId="0" borderId="0" xfId="6" applyNumberFormat="1" applyFont="1" applyBorder="1" applyAlignment="1">
      <alignment vertical="center"/>
    </xf>
    <xf numFmtId="4" fontId="9" fillId="0" borderId="0" xfId="6" applyNumberFormat="1" applyFont="1" applyBorder="1" applyAlignment="1">
      <alignment vertical="center"/>
    </xf>
    <xf numFmtId="3" fontId="11" fillId="4" borderId="40" xfId="4" applyNumberFormat="1" applyFont="1" applyFill="1" applyBorder="1"/>
    <xf numFmtId="1" fontId="11" fillId="3" borderId="27" xfId="4" applyNumberFormat="1" applyFont="1" applyFill="1" applyBorder="1" applyAlignment="1">
      <alignment horizontal="center"/>
    </xf>
    <xf numFmtId="1" fontId="11" fillId="4" borderId="27" xfId="4" applyNumberFormat="1" applyFont="1" applyFill="1" applyBorder="1" applyAlignment="1">
      <alignment horizontal="center"/>
    </xf>
    <xf numFmtId="3" fontId="9" fillId="0" borderId="14" xfId="4" applyNumberFormat="1" applyBorder="1"/>
    <xf numFmtId="3" fontId="12" fillId="0" borderId="16" xfId="4" applyNumberFormat="1" applyFont="1" applyBorder="1"/>
    <xf numFmtId="10" fontId="12" fillId="0" borderId="19" xfId="4" applyNumberFormat="1" applyFont="1" applyBorder="1"/>
    <xf numFmtId="3" fontId="12" fillId="0" borderId="19" xfId="4" applyNumberFormat="1" applyFont="1" applyBorder="1"/>
    <xf numFmtId="0" fontId="10" fillId="11" borderId="0" xfId="0" applyFont="1" applyFill="1" applyBorder="1" applyAlignment="1">
      <alignment vertical="center"/>
    </xf>
    <xf numFmtId="4" fontId="10" fillId="11" borderId="0" xfId="0" applyNumberFormat="1" applyFont="1" applyFill="1" applyBorder="1" applyAlignment="1">
      <alignment vertical="center"/>
    </xf>
    <xf numFmtId="0" fontId="11" fillId="11" borderId="0" xfId="0" applyFont="1" applyFill="1" applyBorder="1" applyAlignment="1">
      <alignment vertical="center"/>
    </xf>
    <xf numFmtId="4" fontId="11" fillId="11" borderId="0" xfId="0" applyNumberFormat="1" applyFont="1" applyFill="1" applyBorder="1" applyAlignment="1">
      <alignment vertical="center"/>
    </xf>
    <xf numFmtId="0" fontId="10" fillId="11" borderId="0" xfId="6" applyFont="1" applyFill="1" applyBorder="1" applyAlignment="1">
      <alignment vertical="center"/>
    </xf>
    <xf numFmtId="4" fontId="10" fillId="11" borderId="0" xfId="6" applyNumberFormat="1" applyFont="1" applyFill="1" applyBorder="1" applyAlignment="1">
      <alignment vertical="center"/>
    </xf>
    <xf numFmtId="0" fontId="11" fillId="11" borderId="0" xfId="6" applyFont="1" applyFill="1" applyBorder="1" applyAlignment="1">
      <alignment vertical="center"/>
    </xf>
    <xf numFmtId="4" fontId="11" fillId="11" borderId="0" xfId="6" applyNumberFormat="1" applyFont="1" applyFill="1" applyBorder="1" applyAlignment="1">
      <alignment vertical="center"/>
    </xf>
    <xf numFmtId="43" fontId="12" fillId="0" borderId="0" xfId="5" applyNumberFormat="1" applyFont="1"/>
    <xf numFmtId="0" fontId="3" fillId="0" borderId="0" xfId="2" applyFont="1" applyAlignment="1">
      <alignment horizontal="right" vertical="top"/>
    </xf>
    <xf numFmtId="0" fontId="8" fillId="0" borderId="0" xfId="2" applyAlignment="1">
      <alignment horizontal="right" vertical="top"/>
    </xf>
    <xf numFmtId="0" fontId="8" fillId="0" borderId="0" xfId="2" applyAlignment="1">
      <alignment vertical="top"/>
    </xf>
    <xf numFmtId="0" fontId="34" fillId="0" borderId="0" xfId="2" applyFont="1" applyAlignment="1">
      <alignment horizontal="right" vertical="top"/>
    </xf>
    <xf numFmtId="0" fontId="34" fillId="0" borderId="0" xfId="2" applyFont="1"/>
    <xf numFmtId="3" fontId="20" fillId="8" borderId="1" xfId="0" applyNumberFormat="1" applyFont="1" applyFill="1" applyBorder="1" applyAlignment="1">
      <alignment horizontal="center"/>
    </xf>
    <xf numFmtId="3" fontId="0" fillId="8" borderId="2" xfId="0" applyNumberFormat="1" applyFill="1" applyBorder="1"/>
    <xf numFmtId="3" fontId="0" fillId="8" borderId="9" xfId="0" applyNumberFormat="1" applyFill="1" applyBorder="1"/>
    <xf numFmtId="0" fontId="24" fillId="9" borderId="21" xfId="0" applyFont="1" applyFill="1" applyBorder="1" applyAlignment="1">
      <alignment horizontal="center"/>
    </xf>
    <xf numFmtId="0" fontId="24" fillId="9" borderId="22" xfId="0" applyFont="1" applyFill="1" applyBorder="1" applyAlignment="1">
      <alignment horizontal="center"/>
    </xf>
    <xf numFmtId="0" fontId="24" fillId="0" borderId="21" xfId="0" applyFont="1" applyBorder="1" applyAlignment="1">
      <alignment horizontal="center"/>
    </xf>
    <xf numFmtId="0" fontId="24" fillId="0" borderId="22" xfId="0" applyFont="1" applyBorder="1" applyAlignment="1">
      <alignment horizontal="center"/>
    </xf>
    <xf numFmtId="0" fontId="24" fillId="8" borderId="21" xfId="0" applyFont="1" applyFill="1" applyBorder="1" applyAlignment="1">
      <alignment horizontal="center"/>
    </xf>
    <xf numFmtId="0" fontId="8" fillId="0" borderId="0" xfId="2" applyBorder="1"/>
    <xf numFmtId="3" fontId="10" fillId="0" borderId="0" xfId="0" applyNumberFormat="1" applyFont="1"/>
    <xf numFmtId="3" fontId="9" fillId="0" borderId="18" xfId="0" applyNumberFormat="1" applyFont="1" applyBorder="1"/>
    <xf numFmtId="165" fontId="10" fillId="0" borderId="0" xfId="0" applyNumberFormat="1" applyFont="1" applyAlignment="1">
      <alignment horizontal="center"/>
    </xf>
    <xf numFmtId="3" fontId="9" fillId="0" borderId="18" xfId="0" applyNumberFormat="1" applyFont="1" applyBorder="1" applyAlignment="1">
      <alignment vertical="center"/>
    </xf>
    <xf numFmtId="3" fontId="0" fillId="8" borderId="6" xfId="0" applyNumberFormat="1" applyFill="1" applyBorder="1"/>
    <xf numFmtId="3" fontId="0" fillId="5" borderId="6" xfId="0" applyNumberFormat="1" applyFill="1" applyBorder="1"/>
    <xf numFmtId="3" fontId="0" fillId="8" borderId="38" xfId="0" applyNumberFormat="1" applyFill="1" applyBorder="1"/>
    <xf numFmtId="10" fontId="0" fillId="8" borderId="2" xfId="0" applyNumberFormat="1" applyFill="1" applyBorder="1"/>
    <xf numFmtId="10" fontId="0" fillId="8" borderId="9" xfId="0" applyNumberFormat="1" applyFill="1" applyBorder="1"/>
    <xf numFmtId="10" fontId="32" fillId="8" borderId="2" xfId="0" applyNumberFormat="1" applyFont="1" applyFill="1" applyBorder="1" applyAlignment="1">
      <alignment horizontal="center"/>
    </xf>
    <xf numFmtId="0" fontId="24" fillId="0" borderId="0" xfId="0" applyFont="1" applyAlignment="1">
      <alignment horizontal="center"/>
    </xf>
    <xf numFmtId="10" fontId="32" fillId="0" borderId="0" xfId="0" applyNumberFormat="1" applyFont="1" applyAlignment="1">
      <alignment horizontal="center"/>
    </xf>
    <xf numFmtId="0" fontId="20" fillId="0" borderId="0" xfId="0" applyFont="1" applyAlignment="1">
      <alignment horizontal="center"/>
    </xf>
    <xf numFmtId="0" fontId="30" fillId="6" borderId="5" xfId="0" applyFont="1" applyFill="1" applyBorder="1" applyAlignment="1">
      <alignment horizontal="center" wrapText="1"/>
    </xf>
    <xf numFmtId="3" fontId="0" fillId="0" borderId="0" xfId="0" applyNumberFormat="1" applyAlignment="1">
      <alignment horizontal="center"/>
    </xf>
    <xf numFmtId="0" fontId="9" fillId="0" borderId="9" xfId="0" applyFont="1" applyBorder="1" applyAlignment="1">
      <alignment horizontal="left" vertical="center"/>
    </xf>
    <xf numFmtId="0" fontId="9" fillId="0" borderId="9" xfId="0" applyFont="1" applyBorder="1" applyAlignment="1">
      <alignment vertical="center"/>
    </xf>
    <xf numFmtId="2" fontId="0" fillId="0" borderId="10" xfId="0" applyNumberFormat="1" applyBorder="1" applyAlignment="1">
      <alignment horizontal="right"/>
    </xf>
    <xf numFmtId="2" fontId="0" fillId="0" borderId="2" xfId="0" applyNumberFormat="1" applyBorder="1" applyAlignment="1">
      <alignment horizontal="right"/>
    </xf>
    <xf numFmtId="2" fontId="0" fillId="0" borderId="9" xfId="0" applyNumberFormat="1" applyBorder="1" applyAlignment="1">
      <alignment horizontal="right"/>
    </xf>
    <xf numFmtId="2" fontId="0" fillId="0" borderId="36" xfId="0" applyNumberFormat="1" applyBorder="1" applyAlignment="1">
      <alignment horizontal="center"/>
    </xf>
    <xf numFmtId="2" fontId="0" fillId="0" borderId="37" xfId="0" applyNumberFormat="1" applyBorder="1" applyAlignment="1">
      <alignment horizontal="center"/>
    </xf>
    <xf numFmtId="2" fontId="0" fillId="0" borderId="39" xfId="0" applyNumberFormat="1" applyBorder="1" applyAlignment="1">
      <alignment horizontal="center"/>
    </xf>
    <xf numFmtId="2" fontId="32" fillId="0" borderId="10" xfId="0" applyNumberFormat="1" applyFont="1" applyBorder="1" applyAlignment="1">
      <alignment horizontal="center"/>
    </xf>
    <xf numFmtId="2" fontId="32" fillId="0" borderId="2" xfId="0" applyNumberFormat="1" applyFont="1" applyBorder="1" applyAlignment="1">
      <alignment horizontal="center"/>
    </xf>
    <xf numFmtId="2" fontId="32" fillId="9" borderId="9" xfId="0" applyNumberFormat="1" applyFont="1" applyFill="1" applyBorder="1" applyAlignment="1">
      <alignment horizontal="center" vertical="center"/>
    </xf>
    <xf numFmtId="2" fontId="32" fillId="0" borderId="9" xfId="0" applyNumberFormat="1" applyFont="1" applyBorder="1" applyAlignment="1">
      <alignment horizontal="center"/>
    </xf>
    <xf numFmtId="0" fontId="24" fillId="0" borderId="0" xfId="0" applyFont="1" applyAlignment="1">
      <alignment horizontal="center" wrapText="1"/>
    </xf>
    <xf numFmtId="2" fontId="32" fillId="0" borderId="0" xfId="0" applyNumberFormat="1" applyFont="1" applyAlignment="1">
      <alignment horizontal="center"/>
    </xf>
    <xf numFmtId="0" fontId="11" fillId="0" borderId="0" xfId="4" applyFont="1" applyBorder="1"/>
    <xf numFmtId="3" fontId="12" fillId="0" borderId="0" xfId="4" applyNumberFormat="1" applyFont="1" applyBorder="1"/>
    <xf numFmtId="10" fontId="12" fillId="0" borderId="0" xfId="4" applyNumberFormat="1" applyFont="1" applyBorder="1"/>
    <xf numFmtId="4" fontId="9" fillId="0" borderId="0" xfId="4" applyNumberFormat="1" applyFont="1"/>
    <xf numFmtId="0" fontId="9" fillId="0" borderId="0" xfId="4" applyFont="1" applyBorder="1"/>
    <xf numFmtId="3" fontId="9" fillId="0" borderId="0" xfId="4" applyNumberFormat="1" applyFont="1" applyBorder="1"/>
    <xf numFmtId="10" fontId="9" fillId="0" borderId="0" xfId="4" applyNumberFormat="1" applyFont="1" applyBorder="1"/>
    <xf numFmtId="166" fontId="11" fillId="0" borderId="19" xfId="4" applyNumberFormat="1" applyFont="1" applyFill="1" applyBorder="1"/>
    <xf numFmtId="166" fontId="11" fillId="0" borderId="20" xfId="4" applyNumberFormat="1" applyFont="1" applyFill="1" applyBorder="1"/>
    <xf numFmtId="166" fontId="11" fillId="0" borderId="0" xfId="4" applyNumberFormat="1" applyFont="1" applyFill="1" applyBorder="1"/>
    <xf numFmtId="166" fontId="9" fillId="0" borderId="0" xfId="4" applyNumberFormat="1" applyFont="1" applyFill="1" applyBorder="1"/>
    <xf numFmtId="43" fontId="11" fillId="0" borderId="0" xfId="5" applyNumberFormat="1" applyFont="1" applyFill="1"/>
    <xf numFmtId="10" fontId="10" fillId="0" borderId="1" xfId="4" applyNumberFormat="1" applyFont="1" applyBorder="1" applyAlignment="1">
      <alignment horizontal="center"/>
    </xf>
    <xf numFmtId="0" fontId="9" fillId="0" borderId="41" xfId="4" applyFont="1" applyBorder="1"/>
    <xf numFmtId="3" fontId="9" fillId="0" borderId="42" xfId="4" applyNumberFormat="1" applyFont="1" applyBorder="1"/>
    <xf numFmtId="10" fontId="9" fillId="0" borderId="42" xfId="4" applyNumberFormat="1" applyFont="1" applyBorder="1"/>
    <xf numFmtId="166" fontId="9" fillId="0" borderId="42" xfId="4" applyNumberFormat="1" applyFont="1" applyFill="1" applyBorder="1"/>
    <xf numFmtId="166" fontId="9" fillId="0" borderId="43" xfId="4" applyNumberFormat="1" applyFont="1" applyFill="1" applyBorder="1"/>
    <xf numFmtId="0" fontId="9" fillId="0" borderId="44" xfId="4" applyFont="1" applyBorder="1"/>
    <xf numFmtId="3" fontId="9" fillId="0" borderId="12" xfId="4" applyNumberFormat="1" applyFont="1" applyBorder="1"/>
    <xf numFmtId="166" fontId="9" fillId="0" borderId="12" xfId="4" applyNumberFormat="1" applyFont="1" applyFill="1" applyBorder="1"/>
    <xf numFmtId="166" fontId="9" fillId="0" borderId="13" xfId="4" applyNumberFormat="1" applyFont="1" applyFill="1" applyBorder="1"/>
    <xf numFmtId="0" fontId="9" fillId="0" borderId="45" xfId="4" applyFont="1" applyBorder="1"/>
    <xf numFmtId="3" fontId="9" fillId="0" borderId="46" xfId="4" applyNumberFormat="1" applyFont="1" applyBorder="1"/>
    <xf numFmtId="166" fontId="9" fillId="0" borderId="46" xfId="4" applyNumberFormat="1" applyFont="1" applyFill="1" applyBorder="1"/>
    <xf numFmtId="166" fontId="9" fillId="0" borderId="47" xfId="4" applyNumberFormat="1" applyFont="1" applyFill="1" applyBorder="1"/>
    <xf numFmtId="0" fontId="20" fillId="9" borderId="1" xfId="0" applyFont="1" applyFill="1" applyBorder="1" applyAlignment="1">
      <alignment horizontal="center" wrapText="1"/>
    </xf>
    <xf numFmtId="2" fontId="0" fillId="0" borderId="0" xfId="0" applyNumberFormat="1"/>
    <xf numFmtId="2" fontId="30" fillId="0" borderId="0" xfId="0" applyNumberFormat="1" applyFont="1" applyAlignment="1">
      <alignment horizontal="center"/>
    </xf>
    <xf numFmtId="0" fontId="30" fillId="0" borderId="0" xfId="0" applyFont="1" applyAlignment="1">
      <alignment horizontal="center"/>
    </xf>
    <xf numFmtId="0" fontId="36" fillId="0" borderId="0" xfId="0" applyFont="1"/>
    <xf numFmtId="0" fontId="36" fillId="0" borderId="0" xfId="0" applyFont="1" applyAlignment="1">
      <alignment horizontal="center"/>
    </xf>
    <xf numFmtId="0" fontId="37" fillId="0" borderId="0" xfId="0" applyFont="1" applyAlignment="1">
      <alignment vertical="center" wrapText="1"/>
    </xf>
    <xf numFmtId="0" fontId="37" fillId="0" borderId="0" xfId="0" applyFont="1" applyBorder="1" applyAlignment="1">
      <alignment vertical="center" wrapText="1"/>
    </xf>
    <xf numFmtId="0" fontId="37" fillId="0" borderId="0" xfId="0" applyFont="1" applyBorder="1" applyAlignment="1">
      <alignment horizontal="center" vertical="center" wrapText="1"/>
    </xf>
    <xf numFmtId="0" fontId="38" fillId="0" borderId="0" xfId="0" applyFont="1" applyBorder="1" applyAlignment="1">
      <alignment vertical="center" wrapText="1"/>
    </xf>
    <xf numFmtId="0" fontId="38" fillId="0" borderId="0" xfId="0" applyFont="1" applyBorder="1" applyAlignment="1">
      <alignment horizontal="center" vertical="center" wrapText="1"/>
    </xf>
    <xf numFmtId="2" fontId="39" fillId="0" borderId="0" xfId="0" applyNumberFormat="1" applyFont="1" applyAlignment="1">
      <alignment horizontal="center"/>
    </xf>
    <xf numFmtId="0" fontId="40" fillId="0" borderId="0" xfId="4" applyFont="1"/>
    <xf numFmtId="4" fontId="40" fillId="0" borderId="0" xfId="4" applyNumberFormat="1" applyFont="1"/>
    <xf numFmtId="3" fontId="40" fillId="0" borderId="1" xfId="4" applyNumberFormat="1" applyFont="1" applyBorder="1"/>
    <xf numFmtId="10" fontId="40" fillId="0" borderId="1" xfId="4" applyNumberFormat="1" applyFont="1" applyBorder="1"/>
    <xf numFmtId="0" fontId="10" fillId="0" borderId="1" xfId="4" applyFont="1" applyBorder="1"/>
    <xf numFmtId="0" fontId="9" fillId="0" borderId="0" xfId="4" applyAlignment="1">
      <alignment vertical="top"/>
    </xf>
    <xf numFmtId="3" fontId="9" fillId="0" borderId="0" xfId="4" applyNumberFormat="1" applyAlignment="1">
      <alignment horizontal="left"/>
    </xf>
    <xf numFmtId="1" fontId="42" fillId="0" borderId="0" xfId="4" applyNumberFormat="1" applyFont="1" applyAlignment="1">
      <alignment horizontal="left" vertical="top"/>
    </xf>
    <xf numFmtId="3" fontId="42" fillId="0" borderId="0" xfId="4" applyNumberFormat="1" applyFont="1" applyAlignment="1">
      <alignment horizontal="left"/>
    </xf>
    <xf numFmtId="3" fontId="42" fillId="0" borderId="0" xfId="4" applyNumberFormat="1" applyFont="1" applyAlignment="1">
      <alignment horizontal="left" vertical="top" wrapText="1"/>
    </xf>
    <xf numFmtId="3" fontId="42" fillId="0" borderId="0" xfId="0" applyNumberFormat="1" applyFont="1" applyAlignment="1">
      <alignment horizontal="left"/>
    </xf>
    <xf numFmtId="167" fontId="9" fillId="0" borderId="0" xfId="4" applyNumberFormat="1"/>
    <xf numFmtId="0" fontId="43" fillId="0" borderId="0" xfId="0" applyFont="1" applyAlignment="1">
      <alignment horizontal="center"/>
    </xf>
    <xf numFmtId="1" fontId="0" fillId="0" borderId="0" xfId="0" applyNumberFormat="1" applyAlignment="1">
      <alignment horizontal="center"/>
    </xf>
    <xf numFmtId="1" fontId="0" fillId="0" borderId="0" xfId="0" applyNumberFormat="1" applyFill="1" applyAlignment="1">
      <alignment horizontal="center"/>
    </xf>
    <xf numFmtId="0" fontId="40" fillId="12" borderId="0" xfId="4" applyFont="1" applyFill="1" applyBorder="1"/>
    <xf numFmtId="3" fontId="40" fillId="12" borderId="0" xfId="4" applyNumberFormat="1" applyFont="1" applyFill="1" applyBorder="1"/>
    <xf numFmtId="10" fontId="40" fillId="12" borderId="0" xfId="4" applyNumberFormat="1" applyFont="1" applyFill="1" applyBorder="1"/>
    <xf numFmtId="166" fontId="40" fillId="12" borderId="0" xfId="4" applyNumberFormat="1" applyFont="1" applyFill="1" applyBorder="1"/>
    <xf numFmtId="10" fontId="9" fillId="0" borderId="0" xfId="4" applyNumberFormat="1" applyFont="1"/>
    <xf numFmtId="10" fontId="10" fillId="0" borderId="0" xfId="4" applyNumberFormat="1" applyFont="1" applyFill="1" applyBorder="1"/>
    <xf numFmtId="1" fontId="10" fillId="0" borderId="1" xfId="4" applyNumberFormat="1" applyFont="1" applyBorder="1"/>
    <xf numFmtId="0" fontId="9" fillId="11" borderId="2" xfId="0" applyFont="1" applyFill="1" applyBorder="1" applyAlignment="1">
      <alignment horizontal="left" vertical="center"/>
    </xf>
    <xf numFmtId="0" fontId="9" fillId="11" borderId="2" xfId="0" applyFont="1" applyFill="1" applyBorder="1" applyAlignment="1">
      <alignment vertical="center"/>
    </xf>
    <xf numFmtId="3" fontId="0" fillId="11" borderId="0" xfId="0" applyNumberFormat="1" applyFill="1" applyAlignment="1">
      <alignment horizontal="center"/>
    </xf>
    <xf numFmtId="4" fontId="0" fillId="11" borderId="0" xfId="0" applyNumberFormat="1" applyFill="1"/>
    <xf numFmtId="2" fontId="0" fillId="11" borderId="0" xfId="0" applyNumberFormat="1" applyFill="1"/>
    <xf numFmtId="1" fontId="0" fillId="11" borderId="0" xfId="0" applyNumberFormat="1" applyFill="1" applyAlignment="1">
      <alignment horizontal="center"/>
    </xf>
    <xf numFmtId="0" fontId="0" fillId="11" borderId="0" xfId="0" applyFill="1"/>
    <xf numFmtId="0" fontId="31" fillId="11" borderId="0" xfId="0" applyFont="1" applyFill="1"/>
    <xf numFmtId="0" fontId="2" fillId="0" borderId="0" xfId="2" applyFont="1"/>
    <xf numFmtId="2" fontId="8" fillId="0" borderId="0" xfId="2" applyNumberFormat="1" applyAlignment="1">
      <alignment horizontal="center"/>
    </xf>
    <xf numFmtId="0" fontId="1" fillId="0" borderId="0" xfId="2" applyFont="1"/>
    <xf numFmtId="0" fontId="1" fillId="0" borderId="0" xfId="2" applyFont="1" applyAlignment="1">
      <alignment wrapText="1"/>
    </xf>
    <xf numFmtId="0" fontId="34" fillId="0" borderId="0" xfId="2" applyFont="1" applyAlignment="1">
      <alignment horizontal="left" wrapText="1"/>
    </xf>
    <xf numFmtId="0" fontId="18" fillId="0" borderId="0" xfId="2" applyFont="1" applyAlignment="1"/>
    <xf numFmtId="0" fontId="20" fillId="0" borderId="0" xfId="0" applyFont="1" applyAlignment="1"/>
    <xf numFmtId="0" fontId="34" fillId="0" borderId="0" xfId="2" applyFont="1" applyAlignment="1">
      <alignment wrapText="1"/>
    </xf>
    <xf numFmtId="0" fontId="35" fillId="0" borderId="0" xfId="0" applyFont="1" applyAlignment="1">
      <alignment wrapText="1"/>
    </xf>
    <xf numFmtId="0" fontId="18" fillId="0" borderId="21" xfId="2" applyFont="1" applyBorder="1" applyAlignment="1">
      <alignment horizontal="center"/>
    </xf>
    <xf numFmtId="0" fontId="0" fillId="0" borderId="22" xfId="0" applyBorder="1" applyAlignment="1">
      <alignment horizontal="center"/>
    </xf>
    <xf numFmtId="0" fontId="18" fillId="0" borderId="1" xfId="2" applyFont="1" applyBorder="1" applyAlignment="1">
      <alignment horizontal="center"/>
    </xf>
    <xf numFmtId="0" fontId="0" fillId="0" borderId="1" xfId="0" applyBorder="1" applyAlignment="1"/>
    <xf numFmtId="0" fontId="10" fillId="0" borderId="0" xfId="0" applyFont="1" applyBorder="1" applyAlignment="1">
      <alignment horizontal="left" vertical="center"/>
    </xf>
    <xf numFmtId="0" fontId="20" fillId="0" borderId="0" xfId="0" applyFont="1" applyAlignment="1">
      <alignment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1" xfId="6" applyFont="1" applyBorder="1" applyAlignment="1">
      <alignment horizontal="center" vertical="center"/>
    </xf>
    <xf numFmtId="0" fontId="11" fillId="0" borderId="22" xfId="6" applyFont="1" applyBorder="1" applyAlignment="1">
      <alignment horizontal="center" vertical="center"/>
    </xf>
    <xf numFmtId="0" fontId="11" fillId="0" borderId="23" xfId="4" applyFont="1" applyBorder="1" applyAlignment="1">
      <alignment horizontal="center"/>
    </xf>
    <xf numFmtId="0" fontId="11" fillId="0" borderId="24" xfId="4" applyFont="1" applyBorder="1" applyAlignment="1">
      <alignment horizontal="center"/>
    </xf>
    <xf numFmtId="0" fontId="11" fillId="0" borderId="25" xfId="4" applyFont="1" applyBorder="1" applyAlignment="1">
      <alignment horizontal="center"/>
    </xf>
    <xf numFmtId="166" fontId="40" fillId="0" borderId="1" xfId="4" applyNumberFormat="1" applyFont="1" applyFill="1" applyBorder="1" applyAlignment="1">
      <alignment horizontal="center"/>
    </xf>
    <xf numFmtId="0" fontId="41" fillId="0" borderId="1" xfId="0" applyFont="1" applyBorder="1" applyAlignment="1">
      <alignment horizontal="center"/>
    </xf>
    <xf numFmtId="0" fontId="10" fillId="10" borderId="21" xfId="0" applyFont="1" applyFill="1" applyBorder="1" applyAlignment="1">
      <alignment horizontal="center"/>
    </xf>
    <xf numFmtId="0" fontId="10" fillId="10" borderId="7" xfId="0" applyFont="1" applyFill="1" applyBorder="1" applyAlignment="1">
      <alignment horizontal="center"/>
    </xf>
    <xf numFmtId="0" fontId="10" fillId="10" borderId="18" xfId="0" applyFont="1" applyFill="1" applyBorder="1" applyAlignment="1">
      <alignment horizontal="center"/>
    </xf>
    <xf numFmtId="0" fontId="20" fillId="10" borderId="18" xfId="0" applyFont="1" applyFill="1" applyBorder="1" applyAlignment="1">
      <alignment horizontal="center"/>
    </xf>
    <xf numFmtId="0" fontId="0" fillId="0" borderId="18" xfId="0" applyBorder="1" applyAlignment="1">
      <alignment horizontal="center"/>
    </xf>
    <xf numFmtId="0" fontId="10" fillId="8" borderId="1" xfId="0" applyFont="1" applyFill="1" applyBorder="1" applyAlignment="1">
      <alignment horizontal="center"/>
    </xf>
    <xf numFmtId="0" fontId="20" fillId="8" borderId="1" xfId="0" applyFont="1" applyFill="1" applyBorder="1" applyAlignment="1">
      <alignment horizontal="center"/>
    </xf>
    <xf numFmtId="0" fontId="10" fillId="9" borderId="1" xfId="0" applyFont="1" applyFill="1" applyBorder="1" applyAlignment="1">
      <alignment horizontal="center"/>
    </xf>
    <xf numFmtId="0" fontId="9" fillId="9" borderId="1" xfId="0" applyFont="1" applyFill="1" applyBorder="1" applyAlignment="1"/>
    <xf numFmtId="0" fontId="10" fillId="7" borderId="1" xfId="0" applyFont="1" applyFill="1" applyBorder="1" applyAlignment="1">
      <alignment horizontal="center"/>
    </xf>
    <xf numFmtId="0" fontId="9" fillId="7" borderId="1" xfId="0" applyFont="1" applyFill="1" applyBorder="1" applyAlignment="1">
      <alignment horizontal="center"/>
    </xf>
    <xf numFmtId="0" fontId="10" fillId="10" borderId="29" xfId="0" applyFont="1" applyFill="1" applyBorder="1" applyAlignment="1">
      <alignment horizontal="center"/>
    </xf>
    <xf numFmtId="0" fontId="10" fillId="9" borderId="1" xfId="0" applyFont="1" applyFill="1" applyBorder="1" applyAlignment="1">
      <alignment horizontal="center" wrapText="1"/>
    </xf>
    <xf numFmtId="0" fontId="10" fillId="8" borderId="21" xfId="0" applyFont="1" applyFill="1" applyBorder="1" applyAlignment="1">
      <alignment horizontal="center" wrapText="1"/>
    </xf>
    <xf numFmtId="0" fontId="20" fillId="8" borderId="29" xfId="0" applyFont="1" applyFill="1" applyBorder="1" applyAlignment="1">
      <alignment horizontal="center" wrapText="1"/>
    </xf>
    <xf numFmtId="0" fontId="20" fillId="8" borderId="22" xfId="0" applyFont="1" applyFill="1" applyBorder="1" applyAlignment="1">
      <alignment horizontal="center" wrapText="1"/>
    </xf>
    <xf numFmtId="0" fontId="20" fillId="9" borderId="21" xfId="0" applyFont="1" applyFill="1" applyBorder="1" applyAlignment="1">
      <alignment horizontal="center"/>
    </xf>
    <xf numFmtId="0" fontId="20" fillId="9" borderId="29" xfId="0" applyFont="1" applyFill="1" applyBorder="1" applyAlignment="1">
      <alignment horizontal="center"/>
    </xf>
    <xf numFmtId="0" fontId="0" fillId="0" borderId="29" xfId="0" applyBorder="1" applyAlignment="1">
      <alignment horizontal="center"/>
    </xf>
    <xf numFmtId="0" fontId="20" fillId="0" borderId="30" xfId="0" applyFont="1" applyBorder="1" applyAlignment="1">
      <alignment horizontal="center"/>
    </xf>
    <xf numFmtId="0" fontId="20" fillId="0" borderId="29" xfId="0" applyFont="1" applyBorder="1" applyAlignment="1">
      <alignment horizontal="center"/>
    </xf>
    <xf numFmtId="0" fontId="0" fillId="0" borderId="34" xfId="0" applyBorder="1" applyAlignment="1">
      <alignment horizontal="center"/>
    </xf>
    <xf numFmtId="0" fontId="20" fillId="8" borderId="4" xfId="0" applyFont="1" applyFill="1" applyBorder="1" applyAlignment="1">
      <alignment horizontal="center"/>
    </xf>
    <xf numFmtId="0" fontId="20" fillId="8" borderId="10" xfId="0" applyFont="1" applyFill="1" applyBorder="1" applyAlignment="1">
      <alignment horizontal="center"/>
    </xf>
    <xf numFmtId="0" fontId="0" fillId="8" borderId="10" xfId="0" applyFill="1" applyBorder="1" applyAlignment="1"/>
  </cellXfs>
  <cellStyles count="7">
    <cellStyle name="Milliers" xfId="5" builtinId="3"/>
    <cellStyle name="Normal" xfId="0" builtinId="0"/>
    <cellStyle name="Normal 2" xfId="2"/>
    <cellStyle name="Normal 3" xfId="3"/>
    <cellStyle name="Normal 4" xfId="6"/>
    <cellStyle name="Normal_pondérations ISB" xfId="1"/>
    <cellStyle name="Normal_pondérations ISB 2"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CC"/>
      <color rgb="FF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CH"/>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44698878206938E-2"/>
          <c:y val="4.0095773510434703E-2"/>
          <c:w val="0.94110369901753677"/>
          <c:h val="0.74957878249089827"/>
        </c:manualLayout>
      </c:layout>
      <c:lineChart>
        <c:grouping val="standard"/>
        <c:varyColors val="0"/>
        <c:ser>
          <c:idx val="0"/>
          <c:order val="0"/>
          <c:tx>
            <c:strRef>
              <c:f>'B9 graphique (par hab.)'!$C$6</c:f>
              <c:strCache>
                <c:ptCount val="1"/>
                <c:pt idx="0">
                  <c:v>avant</c:v>
                </c:pt>
              </c:strCache>
            </c:strRef>
          </c:tx>
          <c:marker>
            <c:symbol val="diamond"/>
            <c:size val="3"/>
          </c:marker>
          <c:cat>
            <c:strRef>
              <c:f>'B9 graphique (par hab.)'!$B$8:$B$170</c:f>
              <c:strCache>
                <c:ptCount val="163"/>
                <c:pt idx="0">
                  <c:v>Crésuz</c:v>
                </c:pt>
                <c:pt idx="1">
                  <c:v>Delley-Portalban</c:v>
                </c:pt>
                <c:pt idx="2">
                  <c:v>Plasselb</c:v>
                </c:pt>
                <c:pt idx="3">
                  <c:v>Rueyres-les-Prés</c:v>
                </c:pt>
                <c:pt idx="4">
                  <c:v>Châtillon</c:v>
                </c:pt>
                <c:pt idx="5">
                  <c:v>Vuissens</c:v>
                </c:pt>
                <c:pt idx="6">
                  <c:v>Kleinbösingen</c:v>
                </c:pt>
                <c:pt idx="7">
                  <c:v>Courlevon</c:v>
                </c:pt>
                <c:pt idx="8">
                  <c:v>Châtel-sur-Montsalvens</c:v>
                </c:pt>
                <c:pt idx="9">
                  <c:v>Rechthalten</c:v>
                </c:pt>
                <c:pt idx="10">
                  <c:v>Galmiz</c:v>
                </c:pt>
                <c:pt idx="11">
                  <c:v>Bas-Intyamon</c:v>
                </c:pt>
                <c:pt idx="12">
                  <c:v>Gletterens</c:v>
                </c:pt>
                <c:pt idx="13">
                  <c:v>St. Silvester</c:v>
                </c:pt>
                <c:pt idx="14">
                  <c:v>St. Antoni</c:v>
                </c:pt>
                <c:pt idx="15">
                  <c:v>Cheyres</c:v>
                </c:pt>
                <c:pt idx="16">
                  <c:v>Plaffeien</c:v>
                </c:pt>
                <c:pt idx="17">
                  <c:v>Léchelles</c:v>
                </c:pt>
                <c:pt idx="18">
                  <c:v>Ueberstorf</c:v>
                </c:pt>
                <c:pt idx="19">
                  <c:v>Greng</c:v>
                </c:pt>
                <c:pt idx="20">
                  <c:v>Bussy</c:v>
                </c:pt>
                <c:pt idx="21">
                  <c:v>Haut-Intyamon</c:v>
                </c:pt>
                <c:pt idx="22">
                  <c:v>Les Montets</c:v>
                </c:pt>
                <c:pt idx="23">
                  <c:v>Chésopelloz</c:v>
                </c:pt>
                <c:pt idx="24">
                  <c:v>Val-de-Charmey</c:v>
                </c:pt>
                <c:pt idx="25">
                  <c:v>Botterens</c:v>
                </c:pt>
                <c:pt idx="26">
                  <c:v>Brünisried</c:v>
                </c:pt>
                <c:pt idx="27">
                  <c:v>Hauteville</c:v>
                </c:pt>
                <c:pt idx="28">
                  <c:v>Russy</c:v>
                </c:pt>
                <c:pt idx="29">
                  <c:v>Semsales</c:v>
                </c:pt>
                <c:pt idx="30">
                  <c:v>Corbières</c:v>
                </c:pt>
                <c:pt idx="31">
                  <c:v>Arconciel</c:v>
                </c:pt>
                <c:pt idx="32">
                  <c:v>Grandvillard</c:v>
                </c:pt>
                <c:pt idx="33">
                  <c:v>Haut-Vully</c:v>
                </c:pt>
                <c:pt idx="34">
                  <c:v>Rue</c:v>
                </c:pt>
                <c:pt idx="35">
                  <c:v>Senèdes</c:v>
                </c:pt>
                <c:pt idx="36">
                  <c:v>Montet (Glâne)</c:v>
                </c:pt>
                <c:pt idx="37">
                  <c:v>Alterswil</c:v>
                </c:pt>
                <c:pt idx="38">
                  <c:v>Heitenried</c:v>
                </c:pt>
                <c:pt idx="39">
                  <c:v>Torny</c:v>
                </c:pt>
                <c:pt idx="40">
                  <c:v>Corserey</c:v>
                </c:pt>
                <c:pt idx="41">
                  <c:v>Düdingen</c:v>
                </c:pt>
                <c:pt idx="42">
                  <c:v>Grangettes</c:v>
                </c:pt>
                <c:pt idx="43">
                  <c:v>Misery-Courtion</c:v>
                </c:pt>
                <c:pt idx="44">
                  <c:v>Ferpicloz</c:v>
                </c:pt>
                <c:pt idx="45">
                  <c:v>Salvenach</c:v>
                </c:pt>
                <c:pt idx="46">
                  <c:v>Barberêche</c:v>
                </c:pt>
                <c:pt idx="47">
                  <c:v>Autigny</c:v>
                </c:pt>
                <c:pt idx="48">
                  <c:v>Dompierre</c:v>
                </c:pt>
                <c:pt idx="49">
                  <c:v>Muntelier</c:v>
                </c:pt>
                <c:pt idx="50">
                  <c:v>Villeneuve</c:v>
                </c:pt>
                <c:pt idx="51">
                  <c:v>La Folliaz</c:v>
                </c:pt>
                <c:pt idx="52">
                  <c:v>Pont-en-Ogoz</c:v>
                </c:pt>
                <c:pt idx="53">
                  <c:v>Sorens</c:v>
                </c:pt>
                <c:pt idx="54">
                  <c:v>St. Ursen</c:v>
                </c:pt>
                <c:pt idx="55">
                  <c:v>Cheiry</c:v>
                </c:pt>
                <c:pt idx="56">
                  <c:v>Ponthaux</c:v>
                </c:pt>
                <c:pt idx="57">
                  <c:v>Chapelle (Glâne)</c:v>
                </c:pt>
                <c:pt idx="58">
                  <c:v>Riaz</c:v>
                </c:pt>
                <c:pt idx="59">
                  <c:v>Surpierre</c:v>
                </c:pt>
                <c:pt idx="60">
                  <c:v>Giffers</c:v>
                </c:pt>
                <c:pt idx="61">
                  <c:v>Ried bei Kerzers</c:v>
                </c:pt>
                <c:pt idx="62">
                  <c:v>Bösingen</c:v>
                </c:pt>
                <c:pt idx="63">
                  <c:v>Gempenach</c:v>
                </c:pt>
                <c:pt idx="64">
                  <c:v>Tentlingen</c:v>
                </c:pt>
                <c:pt idx="65">
                  <c:v>Le Glèbe</c:v>
                </c:pt>
                <c:pt idx="66">
                  <c:v>Ecublens</c:v>
                </c:pt>
                <c:pt idx="67">
                  <c:v>Saint-Aubin</c:v>
                </c:pt>
                <c:pt idx="68">
                  <c:v>Massonnens</c:v>
                </c:pt>
                <c:pt idx="69">
                  <c:v>Villarepos</c:v>
                </c:pt>
                <c:pt idx="70">
                  <c:v>Neyruz</c:v>
                </c:pt>
                <c:pt idx="71">
                  <c:v>Pierrafortscha</c:v>
                </c:pt>
                <c:pt idx="72">
                  <c:v>Prez-vers-Noréaz</c:v>
                </c:pt>
                <c:pt idx="73">
                  <c:v>Autafond</c:v>
                </c:pt>
                <c:pt idx="74">
                  <c:v>Châbles</c:v>
                </c:pt>
                <c:pt idx="75">
                  <c:v>Wallenried</c:v>
                </c:pt>
                <c:pt idx="76">
                  <c:v>Cugy</c:v>
                </c:pt>
                <c:pt idx="77">
                  <c:v>Corpataux-Magnedens</c:v>
                </c:pt>
                <c:pt idx="78">
                  <c:v>Montagny</c:v>
                </c:pt>
                <c:pt idx="79">
                  <c:v>Bas-Vully</c:v>
                </c:pt>
                <c:pt idx="80">
                  <c:v>Vallon</c:v>
                </c:pt>
                <c:pt idx="81">
                  <c:v>Gurmels</c:v>
                </c:pt>
                <c:pt idx="82">
                  <c:v>La Brillaz</c:v>
                </c:pt>
                <c:pt idx="83">
                  <c:v>Tafers</c:v>
                </c:pt>
                <c:pt idx="84">
                  <c:v>Châtel-Saint-Denis</c:v>
                </c:pt>
                <c:pt idx="85">
                  <c:v>Wünnewil-Flamatt</c:v>
                </c:pt>
                <c:pt idx="86">
                  <c:v>Murist</c:v>
                </c:pt>
                <c:pt idx="87">
                  <c:v>Pont-la-Ville</c:v>
                </c:pt>
                <c:pt idx="88">
                  <c:v>Schmitten</c:v>
                </c:pt>
                <c:pt idx="89">
                  <c:v>Gruyères</c:v>
                </c:pt>
                <c:pt idx="90">
                  <c:v>Villorsonnens</c:v>
                </c:pt>
                <c:pt idx="91">
                  <c:v>Morlon</c:v>
                </c:pt>
                <c:pt idx="92">
                  <c:v>Le Châtelard</c:v>
                </c:pt>
                <c:pt idx="93">
                  <c:v>Granges-Paccot</c:v>
                </c:pt>
                <c:pt idx="94">
                  <c:v>Villarsel-sur-Marly</c:v>
                </c:pt>
                <c:pt idx="95">
                  <c:v>Lully</c:v>
                </c:pt>
                <c:pt idx="96">
                  <c:v>Chénens</c:v>
                </c:pt>
                <c:pt idx="97">
                  <c:v>Givisiez</c:v>
                </c:pt>
                <c:pt idx="98">
                  <c:v>Vaulruz</c:v>
                </c:pt>
                <c:pt idx="99">
                  <c:v>Villaz-Saint-Pierre</c:v>
                </c:pt>
                <c:pt idx="100">
                  <c:v>Ependes</c:v>
                </c:pt>
                <c:pt idx="101">
                  <c:v>Hauterive</c:v>
                </c:pt>
                <c:pt idx="102">
                  <c:v>Le Mouret</c:v>
                </c:pt>
                <c:pt idx="103">
                  <c:v>Courgevaux</c:v>
                </c:pt>
                <c:pt idx="104">
                  <c:v>La Roche</c:v>
                </c:pt>
                <c:pt idx="105">
                  <c:v>Auboranges</c:v>
                </c:pt>
                <c:pt idx="106">
                  <c:v>Echarlens</c:v>
                </c:pt>
                <c:pt idx="107">
                  <c:v>Marly</c:v>
                </c:pt>
                <c:pt idx="108">
                  <c:v>Corminboeuf</c:v>
                </c:pt>
                <c:pt idx="109">
                  <c:v>Broc</c:v>
                </c:pt>
                <c:pt idx="110">
                  <c:v>Belfaux</c:v>
                </c:pt>
                <c:pt idx="111">
                  <c:v>Noréaz</c:v>
                </c:pt>
                <c:pt idx="112">
                  <c:v>Lurtigen</c:v>
                </c:pt>
                <c:pt idx="113">
                  <c:v>La Verrerie</c:v>
                </c:pt>
                <c:pt idx="114">
                  <c:v>Avry</c:v>
                </c:pt>
                <c:pt idx="115">
                  <c:v>Vuisternens-en-Ogoz</c:v>
                </c:pt>
                <c:pt idx="116">
                  <c:v>Jaun</c:v>
                </c:pt>
                <c:pt idx="117">
                  <c:v>Siviriez</c:v>
                </c:pt>
                <c:pt idx="118">
                  <c:v>Fétigny</c:v>
                </c:pt>
                <c:pt idx="119">
                  <c:v>Fräschels</c:v>
                </c:pt>
                <c:pt idx="120">
                  <c:v>Remaufens</c:v>
                </c:pt>
                <c:pt idx="121">
                  <c:v>Saint-Martin</c:v>
                </c:pt>
                <c:pt idx="122">
                  <c:v>Kerzers</c:v>
                </c:pt>
                <c:pt idx="123">
                  <c:v>Mézières</c:v>
                </c:pt>
                <c:pt idx="124">
                  <c:v>Grolley</c:v>
                </c:pt>
                <c:pt idx="125">
                  <c:v>Morens</c:v>
                </c:pt>
                <c:pt idx="126">
                  <c:v>Vernay</c:v>
                </c:pt>
                <c:pt idx="127">
                  <c:v>Le Flon</c:v>
                </c:pt>
                <c:pt idx="128">
                  <c:v>Bulle</c:v>
                </c:pt>
                <c:pt idx="129">
                  <c:v>La Sonnaz</c:v>
                </c:pt>
                <c:pt idx="130">
                  <c:v>Cressier</c:v>
                </c:pt>
                <c:pt idx="131">
                  <c:v>Ursy</c:v>
                </c:pt>
                <c:pt idx="132">
                  <c:v>Vuisternens-devant-Romont</c:v>
                </c:pt>
                <c:pt idx="133">
                  <c:v>Ménières</c:v>
                </c:pt>
                <c:pt idx="134">
                  <c:v>Nuvilly</c:v>
                </c:pt>
                <c:pt idx="135">
                  <c:v>Ulmiz</c:v>
                </c:pt>
                <c:pt idx="136">
                  <c:v>Romont</c:v>
                </c:pt>
                <c:pt idx="137">
                  <c:v>Granges</c:v>
                </c:pt>
                <c:pt idx="138">
                  <c:v>Treyvaux</c:v>
                </c:pt>
                <c:pt idx="139">
                  <c:v>Bossonnens</c:v>
                </c:pt>
                <c:pt idx="140">
                  <c:v>Murten</c:v>
                </c:pt>
                <c:pt idx="141">
                  <c:v>Oberschrot</c:v>
                </c:pt>
                <c:pt idx="142">
                  <c:v>Sâles</c:v>
                </c:pt>
                <c:pt idx="143">
                  <c:v>Attalens</c:v>
                </c:pt>
                <c:pt idx="144">
                  <c:v>Farvagny</c:v>
                </c:pt>
                <c:pt idx="145">
                  <c:v>Le Pâquier</c:v>
                </c:pt>
                <c:pt idx="146">
                  <c:v>Zumholz</c:v>
                </c:pt>
                <c:pt idx="147">
                  <c:v>Cottens</c:v>
                </c:pt>
                <c:pt idx="148">
                  <c:v>Rossens</c:v>
                </c:pt>
                <c:pt idx="149">
                  <c:v>Jeuss</c:v>
                </c:pt>
                <c:pt idx="150">
                  <c:v>Fribourg</c:v>
                </c:pt>
                <c:pt idx="151">
                  <c:v>Estavayer-le-Lac</c:v>
                </c:pt>
                <c:pt idx="152">
                  <c:v>Vuadens</c:v>
                </c:pt>
                <c:pt idx="153">
                  <c:v>Domdidier</c:v>
                </c:pt>
                <c:pt idx="154">
                  <c:v>Châtonnaye</c:v>
                </c:pt>
                <c:pt idx="155">
                  <c:v>Courtepin</c:v>
                </c:pt>
                <c:pt idx="156">
                  <c:v>Villars-sur-Glâne</c:v>
                </c:pt>
                <c:pt idx="157">
                  <c:v>Matran</c:v>
                </c:pt>
                <c:pt idx="158">
                  <c:v>Meyriez</c:v>
                </c:pt>
                <c:pt idx="159">
                  <c:v>Sévaz</c:v>
                </c:pt>
                <c:pt idx="160">
                  <c:v>Marsens</c:v>
                </c:pt>
                <c:pt idx="161">
                  <c:v>Billens-Hennens</c:v>
                </c:pt>
                <c:pt idx="162">
                  <c:v>Prévondavaux</c:v>
                </c:pt>
              </c:strCache>
            </c:strRef>
          </c:cat>
          <c:val>
            <c:numRef>
              <c:f>'B9 graphique (par hab.)'!$C$8:$C$170</c:f>
              <c:numCache>
                <c:formatCode>#,##0</c:formatCode>
                <c:ptCount val="163"/>
                <c:pt idx="0">
                  <c:v>1207.4760905937753</c:v>
                </c:pt>
                <c:pt idx="1">
                  <c:v>1482.3566462979361</c:v>
                </c:pt>
                <c:pt idx="2">
                  <c:v>1483.1533545337913</c:v>
                </c:pt>
                <c:pt idx="3">
                  <c:v>1555.0327073014562</c:v>
                </c:pt>
                <c:pt idx="4">
                  <c:v>1559.6119505500392</c:v>
                </c:pt>
                <c:pt idx="5">
                  <c:v>1583.0262540078147</c:v>
                </c:pt>
                <c:pt idx="6">
                  <c:v>1537.2202649025251</c:v>
                </c:pt>
                <c:pt idx="7">
                  <c:v>1531.1258300630627</c:v>
                </c:pt>
                <c:pt idx="8">
                  <c:v>1550.0341040877377</c:v>
                </c:pt>
                <c:pt idx="9">
                  <c:v>1548.2392358099871</c:v>
                </c:pt>
                <c:pt idx="10">
                  <c:v>1562.9534079948507</c:v>
                </c:pt>
                <c:pt idx="11">
                  <c:v>1575.8683851629103</c:v>
                </c:pt>
                <c:pt idx="12">
                  <c:v>1606.0461561317945</c:v>
                </c:pt>
                <c:pt idx="13">
                  <c:v>1564.7502060589541</c:v>
                </c:pt>
                <c:pt idx="14">
                  <c:v>1564.5376615423911</c:v>
                </c:pt>
                <c:pt idx="15">
                  <c:v>1595.9081156439354</c:v>
                </c:pt>
                <c:pt idx="16">
                  <c:v>1575.8943065487556</c:v>
                </c:pt>
                <c:pt idx="17">
                  <c:v>1604.7514681673965</c:v>
                </c:pt>
                <c:pt idx="18">
                  <c:v>1593.8248050899658</c:v>
                </c:pt>
                <c:pt idx="19">
                  <c:v>1592.4050607929464</c:v>
                </c:pt>
                <c:pt idx="20">
                  <c:v>1615.7949820856468</c:v>
                </c:pt>
                <c:pt idx="21">
                  <c:v>1593.5107262734884</c:v>
                </c:pt>
                <c:pt idx="22">
                  <c:v>1619.1237439101835</c:v>
                </c:pt>
                <c:pt idx="23">
                  <c:v>1614.7655671838854</c:v>
                </c:pt>
                <c:pt idx="24">
                  <c:v>1623.7336811123816</c:v>
                </c:pt>
                <c:pt idx="25">
                  <c:v>1637.948312970195</c:v>
                </c:pt>
                <c:pt idx="26">
                  <c:v>1626.8672006563593</c:v>
                </c:pt>
                <c:pt idx="27">
                  <c:v>1622.2871541104498</c:v>
                </c:pt>
                <c:pt idx="28">
                  <c:v>1618.7991931178083</c:v>
                </c:pt>
                <c:pt idx="29">
                  <c:v>1657.0584512393596</c:v>
                </c:pt>
                <c:pt idx="30">
                  <c:v>1659.8648953926811</c:v>
                </c:pt>
                <c:pt idx="31">
                  <c:v>1632.8774890068241</c:v>
                </c:pt>
                <c:pt idx="32">
                  <c:v>1664.375853322161</c:v>
                </c:pt>
                <c:pt idx="33">
                  <c:v>1635.0213558935193</c:v>
                </c:pt>
                <c:pt idx="34">
                  <c:v>1672.949614189095</c:v>
                </c:pt>
                <c:pt idx="35">
                  <c:v>1695.1708207845368</c:v>
                </c:pt>
                <c:pt idx="36">
                  <c:v>1618.2628155569589</c:v>
                </c:pt>
                <c:pt idx="37">
                  <c:v>1644.703544482192</c:v>
                </c:pt>
                <c:pt idx="38">
                  <c:v>1659.3511736743258</c:v>
                </c:pt>
                <c:pt idx="39">
                  <c:v>1666.8939954633327</c:v>
                </c:pt>
                <c:pt idx="40">
                  <c:v>1694.4077980321983</c:v>
                </c:pt>
                <c:pt idx="41">
                  <c:v>1669.5612190832192</c:v>
                </c:pt>
                <c:pt idx="42">
                  <c:v>1688.8588357371082</c:v>
                </c:pt>
                <c:pt idx="43">
                  <c:v>1696.2653636469013</c:v>
                </c:pt>
                <c:pt idx="44">
                  <c:v>1687.6110767533758</c:v>
                </c:pt>
                <c:pt idx="45">
                  <c:v>1636.0506118864032</c:v>
                </c:pt>
                <c:pt idx="46">
                  <c:v>1672.5495005412379</c:v>
                </c:pt>
                <c:pt idx="47">
                  <c:v>1689.5607602403818</c:v>
                </c:pt>
                <c:pt idx="48">
                  <c:v>1733.0407944162046</c:v>
                </c:pt>
                <c:pt idx="49">
                  <c:v>1677.6745273241393</c:v>
                </c:pt>
                <c:pt idx="50">
                  <c:v>1720.9100299232789</c:v>
                </c:pt>
                <c:pt idx="51">
                  <c:v>1688.8489013402766</c:v>
                </c:pt>
                <c:pt idx="52">
                  <c:v>1694.4709815853403</c:v>
                </c:pt>
                <c:pt idx="53">
                  <c:v>1711.1343994632809</c:v>
                </c:pt>
                <c:pt idx="54">
                  <c:v>1692.7879396689307</c:v>
                </c:pt>
                <c:pt idx="55">
                  <c:v>1687.4476046023183</c:v>
                </c:pt>
                <c:pt idx="56">
                  <c:v>1706.0007259904294</c:v>
                </c:pt>
                <c:pt idx="57">
                  <c:v>1711.3622684510108</c:v>
                </c:pt>
                <c:pt idx="58">
                  <c:v>1707.2604763978916</c:v>
                </c:pt>
                <c:pt idx="59">
                  <c:v>1695.9868926007421</c:v>
                </c:pt>
                <c:pt idx="60">
                  <c:v>1701.927532543592</c:v>
                </c:pt>
                <c:pt idx="61">
                  <c:v>1714.1566542635617</c:v>
                </c:pt>
                <c:pt idx="62">
                  <c:v>1673.9552974838155</c:v>
                </c:pt>
                <c:pt idx="63">
                  <c:v>1681.9476057963129</c:v>
                </c:pt>
                <c:pt idx="64">
                  <c:v>1709.8333413362845</c:v>
                </c:pt>
                <c:pt idx="65">
                  <c:v>1733.9694739393617</c:v>
                </c:pt>
                <c:pt idx="66">
                  <c:v>1695.1536004128684</c:v>
                </c:pt>
                <c:pt idx="67">
                  <c:v>1738.7011292749148</c:v>
                </c:pt>
                <c:pt idx="68">
                  <c:v>1675.940140669227</c:v>
                </c:pt>
                <c:pt idx="69">
                  <c:v>1732.3459348027948</c:v>
                </c:pt>
                <c:pt idx="70">
                  <c:v>1742.5024790391446</c:v>
                </c:pt>
                <c:pt idx="71">
                  <c:v>1700.0987704401932</c:v>
                </c:pt>
                <c:pt idx="72">
                  <c:v>1741.864335861382</c:v>
                </c:pt>
                <c:pt idx="73">
                  <c:v>1725.6706851321753</c:v>
                </c:pt>
                <c:pt idx="74">
                  <c:v>1741.8641861280339</c:v>
                </c:pt>
                <c:pt idx="75">
                  <c:v>1704.8172432806048</c:v>
                </c:pt>
                <c:pt idx="76">
                  <c:v>1738.8186272952262</c:v>
                </c:pt>
                <c:pt idx="77">
                  <c:v>1730.3812545168623</c:v>
                </c:pt>
                <c:pt idx="78">
                  <c:v>1741.4167653834754</c:v>
                </c:pt>
                <c:pt idx="79">
                  <c:v>1736.7055531822459</c:v>
                </c:pt>
                <c:pt idx="80">
                  <c:v>1756.129201326851</c:v>
                </c:pt>
                <c:pt idx="81">
                  <c:v>1739.9049901388587</c:v>
                </c:pt>
                <c:pt idx="82">
                  <c:v>1732.0378981572485</c:v>
                </c:pt>
                <c:pt idx="83">
                  <c:v>1759.0393802734372</c:v>
                </c:pt>
                <c:pt idx="84">
                  <c:v>1756.9279741220469</c:v>
                </c:pt>
                <c:pt idx="85">
                  <c:v>1732.2101358003431</c:v>
                </c:pt>
                <c:pt idx="86">
                  <c:v>1754.7157375609252</c:v>
                </c:pt>
                <c:pt idx="87">
                  <c:v>1747.7081044914864</c:v>
                </c:pt>
                <c:pt idx="88">
                  <c:v>1757.6609684188845</c:v>
                </c:pt>
                <c:pt idx="89">
                  <c:v>1785.1365417557142</c:v>
                </c:pt>
                <c:pt idx="90">
                  <c:v>1759.5908695873047</c:v>
                </c:pt>
                <c:pt idx="91">
                  <c:v>1718.4993245299702</c:v>
                </c:pt>
                <c:pt idx="92">
                  <c:v>1770.8692349389837</c:v>
                </c:pt>
                <c:pt idx="93">
                  <c:v>1804.6244123523441</c:v>
                </c:pt>
                <c:pt idx="94">
                  <c:v>1718.6299538717703</c:v>
                </c:pt>
                <c:pt idx="95">
                  <c:v>1787.3314480253148</c:v>
                </c:pt>
                <c:pt idx="96">
                  <c:v>1784.4861657808999</c:v>
                </c:pt>
                <c:pt idx="97">
                  <c:v>1772.820447003849</c:v>
                </c:pt>
                <c:pt idx="98">
                  <c:v>1766.5878577505152</c:v>
                </c:pt>
                <c:pt idx="99">
                  <c:v>1810.3615003878101</c:v>
                </c:pt>
                <c:pt idx="100">
                  <c:v>1781.3615737942634</c:v>
                </c:pt>
                <c:pt idx="101">
                  <c:v>1782.0254428761707</c:v>
                </c:pt>
                <c:pt idx="102">
                  <c:v>1780.8313937463654</c:v>
                </c:pt>
                <c:pt idx="103">
                  <c:v>1788.6984694763917</c:v>
                </c:pt>
                <c:pt idx="104">
                  <c:v>1759.2951181063756</c:v>
                </c:pt>
                <c:pt idx="105">
                  <c:v>1743.2479278505532</c:v>
                </c:pt>
                <c:pt idx="106">
                  <c:v>1780.5004692957143</c:v>
                </c:pt>
                <c:pt idx="107">
                  <c:v>1781.6043381783727</c:v>
                </c:pt>
                <c:pt idx="108">
                  <c:v>1773.9434197420221</c:v>
                </c:pt>
                <c:pt idx="109">
                  <c:v>1801.9393661795129</c:v>
                </c:pt>
                <c:pt idx="110">
                  <c:v>1803.6233099786216</c:v>
                </c:pt>
                <c:pt idx="111">
                  <c:v>1802.9693776998349</c:v>
                </c:pt>
                <c:pt idx="112">
                  <c:v>1771.728639044409</c:v>
                </c:pt>
                <c:pt idx="113">
                  <c:v>1792.1739301344762</c:v>
                </c:pt>
                <c:pt idx="114">
                  <c:v>1805.2558650515518</c:v>
                </c:pt>
                <c:pt idx="115">
                  <c:v>1831.1195785705331</c:v>
                </c:pt>
                <c:pt idx="116">
                  <c:v>1767.7365610166423</c:v>
                </c:pt>
                <c:pt idx="117">
                  <c:v>1797.0279984680653</c:v>
                </c:pt>
                <c:pt idx="118">
                  <c:v>1808.1652845839628</c:v>
                </c:pt>
                <c:pt idx="119">
                  <c:v>1761.5800233259686</c:v>
                </c:pt>
                <c:pt idx="120">
                  <c:v>1822.9043128109215</c:v>
                </c:pt>
                <c:pt idx="121">
                  <c:v>1814.8518911574154</c:v>
                </c:pt>
                <c:pt idx="122">
                  <c:v>1812.5076828981062</c:v>
                </c:pt>
                <c:pt idx="123">
                  <c:v>1799.444076536169</c:v>
                </c:pt>
                <c:pt idx="124">
                  <c:v>1835.5966236903053</c:v>
                </c:pt>
                <c:pt idx="125">
                  <c:v>1761.352924688621</c:v>
                </c:pt>
                <c:pt idx="126">
                  <c:v>1821.3216648929958</c:v>
                </c:pt>
                <c:pt idx="127">
                  <c:v>1830.3440444884081</c:v>
                </c:pt>
                <c:pt idx="128">
                  <c:v>1842.3743607829722</c:v>
                </c:pt>
                <c:pt idx="129">
                  <c:v>1811.7344869909532</c:v>
                </c:pt>
                <c:pt idx="130">
                  <c:v>1821.7735193031285</c:v>
                </c:pt>
                <c:pt idx="131">
                  <c:v>1848.0442613917564</c:v>
                </c:pt>
                <c:pt idx="132">
                  <c:v>1843.7138037056848</c:v>
                </c:pt>
                <c:pt idx="133">
                  <c:v>1837.6600753177088</c:v>
                </c:pt>
                <c:pt idx="134">
                  <c:v>1848.3697830707345</c:v>
                </c:pt>
                <c:pt idx="135">
                  <c:v>1830.3633431930782</c:v>
                </c:pt>
                <c:pt idx="136">
                  <c:v>1868.7139539883801</c:v>
                </c:pt>
                <c:pt idx="137">
                  <c:v>1832.1283131775726</c:v>
                </c:pt>
                <c:pt idx="138">
                  <c:v>1846.7121602354903</c:v>
                </c:pt>
                <c:pt idx="139">
                  <c:v>1858.7159539477959</c:v>
                </c:pt>
                <c:pt idx="140">
                  <c:v>1856.4194548740215</c:v>
                </c:pt>
                <c:pt idx="141">
                  <c:v>1864.3884513282553</c:v>
                </c:pt>
                <c:pt idx="142">
                  <c:v>1871.8586187735391</c:v>
                </c:pt>
                <c:pt idx="143">
                  <c:v>1885.8848715249505</c:v>
                </c:pt>
                <c:pt idx="144">
                  <c:v>1865.5505866864016</c:v>
                </c:pt>
                <c:pt idx="145">
                  <c:v>1865.0660935890066</c:v>
                </c:pt>
                <c:pt idx="146">
                  <c:v>1753.6483403631655</c:v>
                </c:pt>
                <c:pt idx="147">
                  <c:v>1872.5464803352779</c:v>
                </c:pt>
                <c:pt idx="148">
                  <c:v>1883.1381904502841</c:v>
                </c:pt>
                <c:pt idx="149">
                  <c:v>1870.9010912819488</c:v>
                </c:pt>
                <c:pt idx="150">
                  <c:v>1899.5938624850476</c:v>
                </c:pt>
                <c:pt idx="151">
                  <c:v>1913.9957428518371</c:v>
                </c:pt>
                <c:pt idx="152">
                  <c:v>1924.884843721298</c:v>
                </c:pt>
                <c:pt idx="153">
                  <c:v>1923.6635232839265</c:v>
                </c:pt>
                <c:pt idx="154">
                  <c:v>1892.310772379087</c:v>
                </c:pt>
                <c:pt idx="155">
                  <c:v>1944.799977314837</c:v>
                </c:pt>
                <c:pt idx="156">
                  <c:v>1954.7235258984047</c:v>
                </c:pt>
                <c:pt idx="157">
                  <c:v>1949.8801167141573</c:v>
                </c:pt>
                <c:pt idx="158">
                  <c:v>1947.4164600336496</c:v>
                </c:pt>
                <c:pt idx="159">
                  <c:v>1868.5978576572445</c:v>
                </c:pt>
                <c:pt idx="160">
                  <c:v>2011.614729059196</c:v>
                </c:pt>
                <c:pt idx="161">
                  <c:v>1967.3691130085056</c:v>
                </c:pt>
                <c:pt idx="162">
                  <c:v>1983.2796899949981</c:v>
                </c:pt>
              </c:numCache>
            </c:numRef>
          </c:val>
          <c:smooth val="0"/>
        </c:ser>
        <c:ser>
          <c:idx val="1"/>
          <c:order val="1"/>
          <c:tx>
            <c:strRef>
              <c:f>'B9 graphique (par hab.)'!$D$6</c:f>
              <c:strCache>
                <c:ptCount val="1"/>
                <c:pt idx="0">
                  <c:v>après</c:v>
                </c:pt>
              </c:strCache>
            </c:strRef>
          </c:tx>
          <c:marker>
            <c:symbol val="square"/>
            <c:size val="2"/>
          </c:marker>
          <c:cat>
            <c:strRef>
              <c:f>'B9 graphique (par hab.)'!$B$8:$B$170</c:f>
              <c:strCache>
                <c:ptCount val="163"/>
                <c:pt idx="0">
                  <c:v>Crésuz</c:v>
                </c:pt>
                <c:pt idx="1">
                  <c:v>Delley-Portalban</c:v>
                </c:pt>
                <c:pt idx="2">
                  <c:v>Plasselb</c:v>
                </c:pt>
                <c:pt idx="3">
                  <c:v>Rueyres-les-Prés</c:v>
                </c:pt>
                <c:pt idx="4">
                  <c:v>Châtillon</c:v>
                </c:pt>
                <c:pt idx="5">
                  <c:v>Vuissens</c:v>
                </c:pt>
                <c:pt idx="6">
                  <c:v>Kleinbösingen</c:v>
                </c:pt>
                <c:pt idx="7">
                  <c:v>Courlevon</c:v>
                </c:pt>
                <c:pt idx="8">
                  <c:v>Châtel-sur-Montsalvens</c:v>
                </c:pt>
                <c:pt idx="9">
                  <c:v>Rechthalten</c:v>
                </c:pt>
                <c:pt idx="10">
                  <c:v>Galmiz</c:v>
                </c:pt>
                <c:pt idx="11">
                  <c:v>Bas-Intyamon</c:v>
                </c:pt>
                <c:pt idx="12">
                  <c:v>Gletterens</c:v>
                </c:pt>
                <c:pt idx="13">
                  <c:v>St. Silvester</c:v>
                </c:pt>
                <c:pt idx="14">
                  <c:v>St. Antoni</c:v>
                </c:pt>
                <c:pt idx="15">
                  <c:v>Cheyres</c:v>
                </c:pt>
                <c:pt idx="16">
                  <c:v>Plaffeien</c:v>
                </c:pt>
                <c:pt idx="17">
                  <c:v>Léchelles</c:v>
                </c:pt>
                <c:pt idx="18">
                  <c:v>Ueberstorf</c:v>
                </c:pt>
                <c:pt idx="19">
                  <c:v>Greng</c:v>
                </c:pt>
                <c:pt idx="20">
                  <c:v>Bussy</c:v>
                </c:pt>
                <c:pt idx="21">
                  <c:v>Haut-Intyamon</c:v>
                </c:pt>
                <c:pt idx="22">
                  <c:v>Les Montets</c:v>
                </c:pt>
                <c:pt idx="23">
                  <c:v>Chésopelloz</c:v>
                </c:pt>
                <c:pt idx="24">
                  <c:v>Val-de-Charmey</c:v>
                </c:pt>
                <c:pt idx="25">
                  <c:v>Botterens</c:v>
                </c:pt>
                <c:pt idx="26">
                  <c:v>Brünisried</c:v>
                </c:pt>
                <c:pt idx="27">
                  <c:v>Hauteville</c:v>
                </c:pt>
                <c:pt idx="28">
                  <c:v>Russy</c:v>
                </c:pt>
                <c:pt idx="29">
                  <c:v>Semsales</c:v>
                </c:pt>
                <c:pt idx="30">
                  <c:v>Corbières</c:v>
                </c:pt>
                <c:pt idx="31">
                  <c:v>Arconciel</c:v>
                </c:pt>
                <c:pt idx="32">
                  <c:v>Grandvillard</c:v>
                </c:pt>
                <c:pt idx="33">
                  <c:v>Haut-Vully</c:v>
                </c:pt>
                <c:pt idx="34">
                  <c:v>Rue</c:v>
                </c:pt>
                <c:pt idx="35">
                  <c:v>Senèdes</c:v>
                </c:pt>
                <c:pt idx="36">
                  <c:v>Montet (Glâne)</c:v>
                </c:pt>
                <c:pt idx="37">
                  <c:v>Alterswil</c:v>
                </c:pt>
                <c:pt idx="38">
                  <c:v>Heitenried</c:v>
                </c:pt>
                <c:pt idx="39">
                  <c:v>Torny</c:v>
                </c:pt>
                <c:pt idx="40">
                  <c:v>Corserey</c:v>
                </c:pt>
                <c:pt idx="41">
                  <c:v>Düdingen</c:v>
                </c:pt>
                <c:pt idx="42">
                  <c:v>Grangettes</c:v>
                </c:pt>
                <c:pt idx="43">
                  <c:v>Misery-Courtion</c:v>
                </c:pt>
                <c:pt idx="44">
                  <c:v>Ferpicloz</c:v>
                </c:pt>
                <c:pt idx="45">
                  <c:v>Salvenach</c:v>
                </c:pt>
                <c:pt idx="46">
                  <c:v>Barberêche</c:v>
                </c:pt>
                <c:pt idx="47">
                  <c:v>Autigny</c:v>
                </c:pt>
                <c:pt idx="48">
                  <c:v>Dompierre</c:v>
                </c:pt>
                <c:pt idx="49">
                  <c:v>Muntelier</c:v>
                </c:pt>
                <c:pt idx="50">
                  <c:v>Villeneuve</c:v>
                </c:pt>
                <c:pt idx="51">
                  <c:v>La Folliaz</c:v>
                </c:pt>
                <c:pt idx="52">
                  <c:v>Pont-en-Ogoz</c:v>
                </c:pt>
                <c:pt idx="53">
                  <c:v>Sorens</c:v>
                </c:pt>
                <c:pt idx="54">
                  <c:v>St. Ursen</c:v>
                </c:pt>
                <c:pt idx="55">
                  <c:v>Cheiry</c:v>
                </c:pt>
                <c:pt idx="56">
                  <c:v>Ponthaux</c:v>
                </c:pt>
                <c:pt idx="57">
                  <c:v>Chapelle (Glâne)</c:v>
                </c:pt>
                <c:pt idx="58">
                  <c:v>Riaz</c:v>
                </c:pt>
                <c:pt idx="59">
                  <c:v>Surpierre</c:v>
                </c:pt>
                <c:pt idx="60">
                  <c:v>Giffers</c:v>
                </c:pt>
                <c:pt idx="61">
                  <c:v>Ried bei Kerzers</c:v>
                </c:pt>
                <c:pt idx="62">
                  <c:v>Bösingen</c:v>
                </c:pt>
                <c:pt idx="63">
                  <c:v>Gempenach</c:v>
                </c:pt>
                <c:pt idx="64">
                  <c:v>Tentlingen</c:v>
                </c:pt>
                <c:pt idx="65">
                  <c:v>Le Glèbe</c:v>
                </c:pt>
                <c:pt idx="66">
                  <c:v>Ecublens</c:v>
                </c:pt>
                <c:pt idx="67">
                  <c:v>Saint-Aubin</c:v>
                </c:pt>
                <c:pt idx="68">
                  <c:v>Massonnens</c:v>
                </c:pt>
                <c:pt idx="69">
                  <c:v>Villarepos</c:v>
                </c:pt>
                <c:pt idx="70">
                  <c:v>Neyruz</c:v>
                </c:pt>
                <c:pt idx="71">
                  <c:v>Pierrafortscha</c:v>
                </c:pt>
                <c:pt idx="72">
                  <c:v>Prez-vers-Noréaz</c:v>
                </c:pt>
                <c:pt idx="73">
                  <c:v>Autafond</c:v>
                </c:pt>
                <c:pt idx="74">
                  <c:v>Châbles</c:v>
                </c:pt>
                <c:pt idx="75">
                  <c:v>Wallenried</c:v>
                </c:pt>
                <c:pt idx="76">
                  <c:v>Cugy</c:v>
                </c:pt>
                <c:pt idx="77">
                  <c:v>Corpataux-Magnedens</c:v>
                </c:pt>
                <c:pt idx="78">
                  <c:v>Montagny</c:v>
                </c:pt>
                <c:pt idx="79">
                  <c:v>Bas-Vully</c:v>
                </c:pt>
                <c:pt idx="80">
                  <c:v>Vallon</c:v>
                </c:pt>
                <c:pt idx="81">
                  <c:v>Gurmels</c:v>
                </c:pt>
                <c:pt idx="82">
                  <c:v>La Brillaz</c:v>
                </c:pt>
                <c:pt idx="83">
                  <c:v>Tafers</c:v>
                </c:pt>
                <c:pt idx="84">
                  <c:v>Châtel-Saint-Denis</c:v>
                </c:pt>
                <c:pt idx="85">
                  <c:v>Wünnewil-Flamatt</c:v>
                </c:pt>
                <c:pt idx="86">
                  <c:v>Murist</c:v>
                </c:pt>
                <c:pt idx="87">
                  <c:v>Pont-la-Ville</c:v>
                </c:pt>
                <c:pt idx="88">
                  <c:v>Schmitten</c:v>
                </c:pt>
                <c:pt idx="89">
                  <c:v>Gruyères</c:v>
                </c:pt>
                <c:pt idx="90">
                  <c:v>Villorsonnens</c:v>
                </c:pt>
                <c:pt idx="91">
                  <c:v>Morlon</c:v>
                </c:pt>
                <c:pt idx="92">
                  <c:v>Le Châtelard</c:v>
                </c:pt>
                <c:pt idx="93">
                  <c:v>Granges-Paccot</c:v>
                </c:pt>
                <c:pt idx="94">
                  <c:v>Villarsel-sur-Marly</c:v>
                </c:pt>
                <c:pt idx="95">
                  <c:v>Lully</c:v>
                </c:pt>
                <c:pt idx="96">
                  <c:v>Chénens</c:v>
                </c:pt>
                <c:pt idx="97">
                  <c:v>Givisiez</c:v>
                </c:pt>
                <c:pt idx="98">
                  <c:v>Vaulruz</c:v>
                </c:pt>
                <c:pt idx="99">
                  <c:v>Villaz-Saint-Pierre</c:v>
                </c:pt>
                <c:pt idx="100">
                  <c:v>Ependes</c:v>
                </c:pt>
                <c:pt idx="101">
                  <c:v>Hauterive</c:v>
                </c:pt>
                <c:pt idx="102">
                  <c:v>Le Mouret</c:v>
                </c:pt>
                <c:pt idx="103">
                  <c:v>Courgevaux</c:v>
                </c:pt>
                <c:pt idx="104">
                  <c:v>La Roche</c:v>
                </c:pt>
                <c:pt idx="105">
                  <c:v>Auboranges</c:v>
                </c:pt>
                <c:pt idx="106">
                  <c:v>Echarlens</c:v>
                </c:pt>
                <c:pt idx="107">
                  <c:v>Marly</c:v>
                </c:pt>
                <c:pt idx="108">
                  <c:v>Corminboeuf</c:v>
                </c:pt>
                <c:pt idx="109">
                  <c:v>Broc</c:v>
                </c:pt>
                <c:pt idx="110">
                  <c:v>Belfaux</c:v>
                </c:pt>
                <c:pt idx="111">
                  <c:v>Noréaz</c:v>
                </c:pt>
                <c:pt idx="112">
                  <c:v>Lurtigen</c:v>
                </c:pt>
                <c:pt idx="113">
                  <c:v>La Verrerie</c:v>
                </c:pt>
                <c:pt idx="114">
                  <c:v>Avry</c:v>
                </c:pt>
                <c:pt idx="115">
                  <c:v>Vuisternens-en-Ogoz</c:v>
                </c:pt>
                <c:pt idx="116">
                  <c:v>Jaun</c:v>
                </c:pt>
                <c:pt idx="117">
                  <c:v>Siviriez</c:v>
                </c:pt>
                <c:pt idx="118">
                  <c:v>Fétigny</c:v>
                </c:pt>
                <c:pt idx="119">
                  <c:v>Fräschels</c:v>
                </c:pt>
                <c:pt idx="120">
                  <c:v>Remaufens</c:v>
                </c:pt>
                <c:pt idx="121">
                  <c:v>Saint-Martin</c:v>
                </c:pt>
                <c:pt idx="122">
                  <c:v>Kerzers</c:v>
                </c:pt>
                <c:pt idx="123">
                  <c:v>Mézières</c:v>
                </c:pt>
                <c:pt idx="124">
                  <c:v>Grolley</c:v>
                </c:pt>
                <c:pt idx="125">
                  <c:v>Morens</c:v>
                </c:pt>
                <c:pt idx="126">
                  <c:v>Vernay</c:v>
                </c:pt>
                <c:pt idx="127">
                  <c:v>Le Flon</c:v>
                </c:pt>
                <c:pt idx="128">
                  <c:v>Bulle</c:v>
                </c:pt>
                <c:pt idx="129">
                  <c:v>La Sonnaz</c:v>
                </c:pt>
                <c:pt idx="130">
                  <c:v>Cressier</c:v>
                </c:pt>
                <c:pt idx="131">
                  <c:v>Ursy</c:v>
                </c:pt>
                <c:pt idx="132">
                  <c:v>Vuisternens-devant-Romont</c:v>
                </c:pt>
                <c:pt idx="133">
                  <c:v>Ménières</c:v>
                </c:pt>
                <c:pt idx="134">
                  <c:v>Nuvilly</c:v>
                </c:pt>
                <c:pt idx="135">
                  <c:v>Ulmiz</c:v>
                </c:pt>
                <c:pt idx="136">
                  <c:v>Romont</c:v>
                </c:pt>
                <c:pt idx="137">
                  <c:v>Granges</c:v>
                </c:pt>
                <c:pt idx="138">
                  <c:v>Treyvaux</c:v>
                </c:pt>
                <c:pt idx="139">
                  <c:v>Bossonnens</c:v>
                </c:pt>
                <c:pt idx="140">
                  <c:v>Murten</c:v>
                </c:pt>
                <c:pt idx="141">
                  <c:v>Oberschrot</c:v>
                </c:pt>
                <c:pt idx="142">
                  <c:v>Sâles</c:v>
                </c:pt>
                <c:pt idx="143">
                  <c:v>Attalens</c:v>
                </c:pt>
                <c:pt idx="144">
                  <c:v>Farvagny</c:v>
                </c:pt>
                <c:pt idx="145">
                  <c:v>Le Pâquier</c:v>
                </c:pt>
                <c:pt idx="146">
                  <c:v>Zumholz</c:v>
                </c:pt>
                <c:pt idx="147">
                  <c:v>Cottens</c:v>
                </c:pt>
                <c:pt idx="148">
                  <c:v>Rossens</c:v>
                </c:pt>
                <c:pt idx="149">
                  <c:v>Jeuss</c:v>
                </c:pt>
                <c:pt idx="150">
                  <c:v>Fribourg</c:v>
                </c:pt>
                <c:pt idx="151">
                  <c:v>Estavayer-le-Lac</c:v>
                </c:pt>
                <c:pt idx="152">
                  <c:v>Vuadens</c:v>
                </c:pt>
                <c:pt idx="153">
                  <c:v>Domdidier</c:v>
                </c:pt>
                <c:pt idx="154">
                  <c:v>Châtonnaye</c:v>
                </c:pt>
                <c:pt idx="155">
                  <c:v>Courtepin</c:v>
                </c:pt>
                <c:pt idx="156">
                  <c:v>Villars-sur-Glâne</c:v>
                </c:pt>
                <c:pt idx="157">
                  <c:v>Matran</c:v>
                </c:pt>
                <c:pt idx="158">
                  <c:v>Meyriez</c:v>
                </c:pt>
                <c:pt idx="159">
                  <c:v>Sévaz</c:v>
                </c:pt>
                <c:pt idx="160">
                  <c:v>Marsens</c:v>
                </c:pt>
                <c:pt idx="161">
                  <c:v>Billens-Hennens</c:v>
                </c:pt>
                <c:pt idx="162">
                  <c:v>Prévondavaux</c:v>
                </c:pt>
              </c:strCache>
            </c:strRef>
          </c:cat>
          <c:val>
            <c:numRef>
              <c:f>'B9 graphique (par hab.)'!$D$8:$D$170</c:f>
              <c:numCache>
                <c:formatCode>#,##0</c:formatCode>
                <c:ptCount val="163"/>
                <c:pt idx="0">
                  <c:v>1216.1590393018853</c:v>
                </c:pt>
                <c:pt idx="1">
                  <c:v>1501.3873107272432</c:v>
                </c:pt>
                <c:pt idx="2">
                  <c:v>1503.7683770033752</c:v>
                </c:pt>
                <c:pt idx="3">
                  <c:v>1577.5460890917723</c:v>
                </c:pt>
                <c:pt idx="4">
                  <c:v>1582.2910477642056</c:v>
                </c:pt>
                <c:pt idx="5">
                  <c:v>1605.9011271873812</c:v>
                </c:pt>
                <c:pt idx="6">
                  <c:v>1560.4223770976514</c:v>
                </c:pt>
                <c:pt idx="7">
                  <c:v>1554.4973602382042</c:v>
                </c:pt>
                <c:pt idx="8">
                  <c:v>1574.2653711605587</c:v>
                </c:pt>
                <c:pt idx="9">
                  <c:v>1572.5434738965096</c:v>
                </c:pt>
                <c:pt idx="10">
                  <c:v>1587.5398523717643</c:v>
                </c:pt>
                <c:pt idx="11">
                  <c:v>1600.4677477291707</c:v>
                </c:pt>
                <c:pt idx="12">
                  <c:v>1630.976190097068</c:v>
                </c:pt>
                <c:pt idx="13">
                  <c:v>1590.1424597830189</c:v>
                </c:pt>
                <c:pt idx="14">
                  <c:v>1590.8316996065614</c:v>
                </c:pt>
                <c:pt idx="15">
                  <c:v>1622.3601637722429</c:v>
                </c:pt>
                <c:pt idx="16">
                  <c:v>1602.7131845861106</c:v>
                </c:pt>
                <c:pt idx="17">
                  <c:v>1631.631931953302</c:v>
                </c:pt>
                <c:pt idx="18">
                  <c:v>1620.8087362264798</c:v>
                </c:pt>
                <c:pt idx="19">
                  <c:v>1619.4925270845185</c:v>
                </c:pt>
                <c:pt idx="20">
                  <c:v>1643.2554150436836</c:v>
                </c:pt>
                <c:pt idx="21">
                  <c:v>1621.1893563508975</c:v>
                </c:pt>
                <c:pt idx="22">
                  <c:v>1647.1014282307453</c:v>
                </c:pt>
                <c:pt idx="23">
                  <c:v>1643.1812306611555</c:v>
                </c:pt>
                <c:pt idx="24">
                  <c:v>1652.5020029544728</c:v>
                </c:pt>
                <c:pt idx="25">
                  <c:v>1666.9587011777905</c:v>
                </c:pt>
                <c:pt idx="26">
                  <c:v>1655.8985638575905</c:v>
                </c:pt>
                <c:pt idx="27">
                  <c:v>1651.5995878064043</c:v>
                </c:pt>
                <c:pt idx="28">
                  <c:v>1648.1996512423418</c:v>
                </c:pt>
                <c:pt idx="29">
                  <c:v>1686.5257945500673</c:v>
                </c:pt>
                <c:pt idx="30">
                  <c:v>1689.5088522973256</c:v>
                </c:pt>
                <c:pt idx="31">
                  <c:v>1662.5429287355671</c:v>
                </c:pt>
                <c:pt idx="32">
                  <c:v>1694.3632918969586</c:v>
                </c:pt>
                <c:pt idx="33">
                  <c:v>1665.181501111859</c:v>
                </c:pt>
                <c:pt idx="34">
                  <c:v>1703.328220400839</c:v>
                </c:pt>
                <c:pt idx="35">
                  <c:v>1725.7586668706765</c:v>
                </c:pt>
                <c:pt idx="36">
                  <c:v>1648.8828229138528</c:v>
                </c:pt>
                <c:pt idx="37">
                  <c:v>1675.4390941805125</c:v>
                </c:pt>
                <c:pt idx="38">
                  <c:v>1690.1666548314843</c:v>
                </c:pt>
                <c:pt idx="39">
                  <c:v>1697.884658340399</c:v>
                </c:pt>
                <c:pt idx="40">
                  <c:v>1726.362646964945</c:v>
                </c:pt>
                <c:pt idx="41">
                  <c:v>1701.5540720453012</c:v>
                </c:pt>
                <c:pt idx="42">
                  <c:v>1720.896109047517</c:v>
                </c:pt>
                <c:pt idx="43">
                  <c:v>1728.4742901208683</c:v>
                </c:pt>
                <c:pt idx="44">
                  <c:v>1719.9310559622652</c:v>
                </c:pt>
                <c:pt idx="45">
                  <c:v>1668.6070502179325</c:v>
                </c:pt>
                <c:pt idx="46">
                  <c:v>1705.4284657893138</c:v>
                </c:pt>
                <c:pt idx="47">
                  <c:v>1722.4769624170683</c:v>
                </c:pt>
                <c:pt idx="48">
                  <c:v>1766.311005934379</c:v>
                </c:pt>
                <c:pt idx="49">
                  <c:v>1711.0606482465964</c:v>
                </c:pt>
                <c:pt idx="50">
                  <c:v>1754.9157797286359</c:v>
                </c:pt>
                <c:pt idx="51">
                  <c:v>1723.2032957932968</c:v>
                </c:pt>
                <c:pt idx="52">
                  <c:v>1729.003940617602</c:v>
                </c:pt>
                <c:pt idx="53">
                  <c:v>1745.7459873448797</c:v>
                </c:pt>
                <c:pt idx="54">
                  <c:v>1727.4033407828892</c:v>
                </c:pt>
                <c:pt idx="55">
                  <c:v>1722.0878036037095</c:v>
                </c:pt>
                <c:pt idx="56">
                  <c:v>1740.6966950862579</c:v>
                </c:pt>
                <c:pt idx="57">
                  <c:v>1746.1364667287553</c:v>
                </c:pt>
                <c:pt idx="58">
                  <c:v>1742.1613770348624</c:v>
                </c:pt>
                <c:pt idx="59">
                  <c:v>1730.898384813029</c:v>
                </c:pt>
                <c:pt idx="60">
                  <c:v>1736.8880454903156</c:v>
                </c:pt>
                <c:pt idx="61">
                  <c:v>1749.1906563544869</c:v>
                </c:pt>
                <c:pt idx="62">
                  <c:v>1709.1490949925512</c:v>
                </c:pt>
                <c:pt idx="63">
                  <c:v>1717.4850923722413</c:v>
                </c:pt>
                <c:pt idx="64">
                  <c:v>1745.8120494377811</c:v>
                </c:pt>
                <c:pt idx="65">
                  <c:v>1769.9754922909494</c:v>
                </c:pt>
                <c:pt idx="66">
                  <c:v>1731.2021420453193</c:v>
                </c:pt>
                <c:pt idx="67">
                  <c:v>1774.8633181576852</c:v>
                </c:pt>
                <c:pt idx="68">
                  <c:v>1712.1054705269851</c:v>
                </c:pt>
                <c:pt idx="69">
                  <c:v>1768.5499545002338</c:v>
                </c:pt>
                <c:pt idx="70">
                  <c:v>1778.9386945694105</c:v>
                </c:pt>
                <c:pt idx="71">
                  <c:v>1736.6628257245975</c:v>
                </c:pt>
                <c:pt idx="72">
                  <c:v>1778.4833364985782</c:v>
                </c:pt>
                <c:pt idx="73">
                  <c:v>1762.4680858397962</c:v>
                </c:pt>
                <c:pt idx="74">
                  <c:v>1778.8012895491102</c:v>
                </c:pt>
                <c:pt idx="75">
                  <c:v>1741.9344378194619</c:v>
                </c:pt>
                <c:pt idx="76">
                  <c:v>1775.946310542274</c:v>
                </c:pt>
                <c:pt idx="77">
                  <c:v>1767.865513928753</c:v>
                </c:pt>
                <c:pt idx="78">
                  <c:v>1779.0757905789994</c:v>
                </c:pt>
                <c:pt idx="79">
                  <c:v>1774.3933733698357</c:v>
                </c:pt>
                <c:pt idx="80">
                  <c:v>1793.971396466108</c:v>
                </c:pt>
                <c:pt idx="81">
                  <c:v>1777.7497438990074</c:v>
                </c:pt>
                <c:pt idx="82">
                  <c:v>1769.9066894802338</c:v>
                </c:pt>
                <c:pt idx="83">
                  <c:v>1797.0718005856579</c:v>
                </c:pt>
                <c:pt idx="84">
                  <c:v>1795.0599868442987</c:v>
                </c:pt>
                <c:pt idx="85">
                  <c:v>1770.3672033101095</c:v>
                </c:pt>
                <c:pt idx="86">
                  <c:v>1792.9524535793332</c:v>
                </c:pt>
                <c:pt idx="87">
                  <c:v>1786.5182371337453</c:v>
                </c:pt>
                <c:pt idx="88">
                  <c:v>1796.5937167906659</c:v>
                </c:pt>
                <c:pt idx="89">
                  <c:v>1824.2759535267317</c:v>
                </c:pt>
                <c:pt idx="90">
                  <c:v>1798.986511306611</c:v>
                </c:pt>
                <c:pt idx="91">
                  <c:v>1758.0072288455351</c:v>
                </c:pt>
                <c:pt idx="92">
                  <c:v>1810.7079451417267</c:v>
                </c:pt>
                <c:pt idx="93">
                  <c:v>1844.6280755446141</c:v>
                </c:pt>
                <c:pt idx="94">
                  <c:v>1758.6558084793414</c:v>
                </c:pt>
                <c:pt idx="95">
                  <c:v>1827.6365039347004</c:v>
                </c:pt>
                <c:pt idx="96">
                  <c:v>1825.2243204647755</c:v>
                </c:pt>
                <c:pt idx="97">
                  <c:v>1813.6469768708346</c:v>
                </c:pt>
                <c:pt idx="98">
                  <c:v>1807.6758328177527</c:v>
                </c:pt>
                <c:pt idx="99">
                  <c:v>1851.511150474711</c:v>
                </c:pt>
                <c:pt idx="100">
                  <c:v>1822.5552226241716</c:v>
                </c:pt>
                <c:pt idx="101">
                  <c:v>1823.2313131298215</c:v>
                </c:pt>
                <c:pt idx="102">
                  <c:v>1822.0383047920604</c:v>
                </c:pt>
                <c:pt idx="103">
                  <c:v>1829.9102652514232</c:v>
                </c:pt>
                <c:pt idx="104">
                  <c:v>1800.5223151518815</c:v>
                </c:pt>
                <c:pt idx="105">
                  <c:v>1784.4792888343234</c:v>
                </c:pt>
                <c:pt idx="106">
                  <c:v>1821.9305163226318</c:v>
                </c:pt>
                <c:pt idx="107">
                  <c:v>1823.1189169459601</c:v>
                </c:pt>
                <c:pt idx="108">
                  <c:v>1815.7517448556507</c:v>
                </c:pt>
                <c:pt idx="109">
                  <c:v>1843.787275502362</c:v>
                </c:pt>
                <c:pt idx="110">
                  <c:v>1845.5587565682256</c:v>
                </c:pt>
                <c:pt idx="111">
                  <c:v>1845.0168765045444</c:v>
                </c:pt>
                <c:pt idx="112">
                  <c:v>1813.7858957948883</c:v>
                </c:pt>
                <c:pt idx="113">
                  <c:v>1834.3941325133462</c:v>
                </c:pt>
                <c:pt idx="114">
                  <c:v>1848.1145345662951</c:v>
                </c:pt>
                <c:pt idx="115">
                  <c:v>1874.2616682303353</c:v>
                </c:pt>
                <c:pt idx="116">
                  <c:v>1811.3523588601313</c:v>
                </c:pt>
                <c:pt idx="117">
                  <c:v>1840.908868355702</c:v>
                </c:pt>
                <c:pt idx="118">
                  <c:v>1852.0508868680747</c:v>
                </c:pt>
                <c:pt idx="119">
                  <c:v>1805.6890190258557</c:v>
                </c:pt>
                <c:pt idx="120">
                  <c:v>1867.0812642527355</c:v>
                </c:pt>
                <c:pt idx="121">
                  <c:v>1859.0923100924356</c:v>
                </c:pt>
                <c:pt idx="122">
                  <c:v>1856.7996798012562</c:v>
                </c:pt>
                <c:pt idx="123">
                  <c:v>1843.9867685730426</c:v>
                </c:pt>
                <c:pt idx="124">
                  <c:v>1880.183193812087</c:v>
                </c:pt>
                <c:pt idx="125">
                  <c:v>1806.3322939809011</c:v>
                </c:pt>
                <c:pt idx="126">
                  <c:v>1866.3633081364658</c:v>
                </c:pt>
                <c:pt idx="127">
                  <c:v>1875.5780658140684</c:v>
                </c:pt>
                <c:pt idx="128">
                  <c:v>1887.7927214491212</c:v>
                </c:pt>
                <c:pt idx="129">
                  <c:v>1857.4252069014435</c:v>
                </c:pt>
                <c:pt idx="130">
                  <c:v>1867.7708580752922</c:v>
                </c:pt>
                <c:pt idx="131">
                  <c:v>1894.1799136098709</c:v>
                </c:pt>
                <c:pt idx="132">
                  <c:v>1889.911755613223</c:v>
                </c:pt>
                <c:pt idx="133">
                  <c:v>1884.5030901580114</c:v>
                </c:pt>
                <c:pt idx="134">
                  <c:v>1896.6036883123577</c:v>
                </c:pt>
                <c:pt idx="135">
                  <c:v>1878.7819471946552</c:v>
                </c:pt>
                <c:pt idx="136">
                  <c:v>1917.2128801367905</c:v>
                </c:pt>
                <c:pt idx="137">
                  <c:v>1880.8626636478966</c:v>
                </c:pt>
                <c:pt idx="138">
                  <c:v>1895.725386906619</c:v>
                </c:pt>
                <c:pt idx="139">
                  <c:v>1907.8080285044982</c:v>
                </c:pt>
                <c:pt idx="140">
                  <c:v>1905.926144770923</c:v>
                </c:pt>
                <c:pt idx="141">
                  <c:v>1914.3396610492025</c:v>
                </c:pt>
                <c:pt idx="142">
                  <c:v>1922.2478431454367</c:v>
                </c:pt>
                <c:pt idx="143">
                  <c:v>1936.3598090416933</c:v>
                </c:pt>
                <c:pt idx="144">
                  <c:v>1916.0657643862698</c:v>
                </c:pt>
                <c:pt idx="145">
                  <c:v>1915.7559241496635</c:v>
                </c:pt>
                <c:pt idx="146">
                  <c:v>1805.2423264810052</c:v>
                </c:pt>
                <c:pt idx="147">
                  <c:v>1924.152814981886</c:v>
                </c:pt>
                <c:pt idx="148">
                  <c:v>1935.3930583497079</c:v>
                </c:pt>
                <c:pt idx="149">
                  <c:v>1923.2915511055787</c:v>
                </c:pt>
                <c:pt idx="150">
                  <c:v>1952.2888462054143</c:v>
                </c:pt>
                <c:pt idx="151">
                  <c:v>1967.7050481550723</c:v>
                </c:pt>
                <c:pt idx="152">
                  <c:v>1978.8226911927013</c:v>
                </c:pt>
                <c:pt idx="153">
                  <c:v>1977.7753418708571</c:v>
                </c:pt>
                <c:pt idx="154">
                  <c:v>1946.9566649655699</c:v>
                </c:pt>
                <c:pt idx="155">
                  <c:v>2001.1011899464636</c:v>
                </c:pt>
                <c:pt idx="156">
                  <c:v>2013.3128094863102</c:v>
                </c:pt>
                <c:pt idx="157">
                  <c:v>2011.1528119604116</c:v>
                </c:pt>
                <c:pt idx="158">
                  <c:v>2008.7016163952576</c:v>
                </c:pt>
                <c:pt idx="159">
                  <c:v>1932.5477061832178</c:v>
                </c:pt>
                <c:pt idx="160">
                  <c:v>2076.6846799591403</c:v>
                </c:pt>
                <c:pt idx="161">
                  <c:v>2033.0950151023553</c:v>
                </c:pt>
                <c:pt idx="162">
                  <c:v>2049.7902084324901</c:v>
                </c:pt>
              </c:numCache>
            </c:numRef>
          </c:val>
          <c:smooth val="0"/>
        </c:ser>
        <c:dLbls>
          <c:showLegendKey val="0"/>
          <c:showVal val="0"/>
          <c:showCatName val="0"/>
          <c:showSerName val="0"/>
          <c:showPercent val="0"/>
          <c:showBubbleSize val="0"/>
        </c:dLbls>
        <c:marker val="1"/>
        <c:smooth val="0"/>
        <c:axId val="40150912"/>
        <c:axId val="40152448"/>
      </c:lineChart>
      <c:catAx>
        <c:axId val="40150912"/>
        <c:scaling>
          <c:orientation val="minMax"/>
        </c:scaling>
        <c:delete val="0"/>
        <c:axPos val="b"/>
        <c:numFmt formatCode="0" sourceLinked="1"/>
        <c:majorTickMark val="out"/>
        <c:minorTickMark val="none"/>
        <c:tickLblPos val="nextTo"/>
        <c:crossAx val="40152448"/>
        <c:crosses val="autoZero"/>
        <c:auto val="0"/>
        <c:lblAlgn val="ctr"/>
        <c:lblOffset val="100"/>
        <c:tickLblSkip val="5"/>
        <c:noMultiLvlLbl val="0"/>
      </c:catAx>
      <c:valAx>
        <c:axId val="40152448"/>
        <c:scaling>
          <c:orientation val="minMax"/>
          <c:max val="2200"/>
          <c:min val="1000"/>
        </c:scaling>
        <c:delete val="0"/>
        <c:axPos val="l"/>
        <c:majorGridlines/>
        <c:numFmt formatCode="#,##0" sourceLinked="1"/>
        <c:majorTickMark val="out"/>
        <c:minorTickMark val="none"/>
        <c:tickLblPos val="nextTo"/>
        <c:crossAx val="40150912"/>
        <c:crosses val="autoZero"/>
        <c:crossBetween val="between"/>
        <c:majorUnit val="200"/>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CH"/>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Graphique 2-2          Nombre de communes </a:t>
            </a:r>
            <a:r>
              <a:rPr lang="en-US" sz="1050" b="0"/>
              <a:t>(vertical), </a:t>
            </a:r>
          </a:p>
          <a:p>
            <a:pPr>
              <a:defRPr sz="1050"/>
            </a:pPr>
            <a:r>
              <a:rPr lang="en-US" sz="1050"/>
              <a:t>distribution en francs par habitant </a:t>
            </a:r>
            <a:r>
              <a:rPr lang="en-US" sz="1050" b="0"/>
              <a:t>(horizontal)</a:t>
            </a:r>
          </a:p>
        </c:rich>
      </c:tx>
      <c:layout/>
      <c:overlay val="0"/>
    </c:title>
    <c:autoTitleDeleted val="0"/>
    <c:plotArea>
      <c:layout>
        <c:manualLayout>
          <c:layoutTarget val="inner"/>
          <c:xMode val="edge"/>
          <c:yMode val="edge"/>
          <c:x val="0.12283464566929134"/>
          <c:y val="0.21129629629629629"/>
          <c:w val="0.8501250396797746"/>
          <c:h val="0.63044765237678624"/>
        </c:manualLayout>
      </c:layout>
      <c:barChart>
        <c:barDir val="col"/>
        <c:grouping val="clustered"/>
        <c:varyColors val="0"/>
        <c:ser>
          <c:idx val="0"/>
          <c:order val="0"/>
          <c:tx>
            <c:strRef>
              <c:f>'B9 graphique (par hab.)'!$B$210</c:f>
              <c:strCache>
                <c:ptCount val="1"/>
                <c:pt idx="0">
                  <c:v>en francs par habitant</c:v>
                </c:pt>
              </c:strCache>
            </c:strRef>
          </c:tx>
          <c:invertIfNegative val="0"/>
          <c:dLbls>
            <c:txPr>
              <a:bodyPr/>
              <a:lstStyle/>
              <a:p>
                <a:pPr>
                  <a:defRPr b="1">
                    <a:solidFill>
                      <a:srgbClr val="0070C0"/>
                    </a:solidFill>
                  </a:defRPr>
                </a:pPr>
                <a:endParaRPr lang="fr-FR"/>
              </a:p>
            </c:txPr>
            <c:showLegendKey val="0"/>
            <c:showVal val="1"/>
            <c:showCatName val="0"/>
            <c:showSerName val="0"/>
            <c:showPercent val="0"/>
            <c:showBubbleSize val="0"/>
            <c:showLeaderLines val="0"/>
          </c:dLbls>
          <c:cat>
            <c:strRef>
              <c:f>'B9 graphique (par hab.)'!$B$211:$B$222</c:f>
              <c:strCache>
                <c:ptCount val="12"/>
                <c:pt idx="0">
                  <c:v>&lt; 9.99</c:v>
                </c:pt>
                <c:pt idx="1">
                  <c:v>10.00 - 19.99</c:v>
                </c:pt>
                <c:pt idx="2">
                  <c:v>20.00 - 24.99</c:v>
                </c:pt>
                <c:pt idx="3">
                  <c:v>25.00 - 29.99</c:v>
                </c:pt>
                <c:pt idx="4">
                  <c:v>30.00 - 34.99</c:v>
                </c:pt>
                <c:pt idx="5">
                  <c:v>35.00 - 39.99</c:v>
                </c:pt>
                <c:pt idx="6">
                  <c:v>40.00 - 44.99</c:v>
                </c:pt>
                <c:pt idx="7">
                  <c:v>45.00 - 49.99</c:v>
                </c:pt>
                <c:pt idx="8">
                  <c:v>50.00 - 54.99</c:v>
                </c:pt>
                <c:pt idx="9">
                  <c:v>55.00 - 59.99</c:v>
                </c:pt>
                <c:pt idx="10">
                  <c:v>60.00 - 64.99</c:v>
                </c:pt>
                <c:pt idx="11">
                  <c:v>&gt; 65.00</c:v>
                </c:pt>
              </c:strCache>
            </c:strRef>
          </c:cat>
          <c:val>
            <c:numRef>
              <c:f>'B9 graphique (par hab.)'!$C$211:$C$222</c:f>
              <c:numCache>
                <c:formatCode>General</c:formatCode>
                <c:ptCount val="12"/>
                <c:pt idx="0">
                  <c:v>1</c:v>
                </c:pt>
                <c:pt idx="1">
                  <c:v>1</c:v>
                </c:pt>
                <c:pt idx="2">
                  <c:v>11</c:v>
                </c:pt>
                <c:pt idx="3">
                  <c:v>20</c:v>
                </c:pt>
                <c:pt idx="4">
                  <c:v>28</c:v>
                </c:pt>
                <c:pt idx="5">
                  <c:v>32</c:v>
                </c:pt>
                <c:pt idx="6">
                  <c:v>33</c:v>
                </c:pt>
                <c:pt idx="7">
                  <c:v>16</c:v>
                </c:pt>
                <c:pt idx="8">
                  <c:v>13</c:v>
                </c:pt>
                <c:pt idx="9">
                  <c:v>2</c:v>
                </c:pt>
                <c:pt idx="10">
                  <c:v>3</c:v>
                </c:pt>
                <c:pt idx="11">
                  <c:v>3</c:v>
                </c:pt>
              </c:numCache>
            </c:numRef>
          </c:val>
        </c:ser>
        <c:dLbls>
          <c:showLegendKey val="0"/>
          <c:showVal val="0"/>
          <c:showCatName val="0"/>
          <c:showSerName val="0"/>
          <c:showPercent val="0"/>
          <c:showBubbleSize val="0"/>
        </c:dLbls>
        <c:gapWidth val="150"/>
        <c:axId val="42933632"/>
        <c:axId val="42939520"/>
      </c:barChart>
      <c:catAx>
        <c:axId val="42933632"/>
        <c:scaling>
          <c:orientation val="minMax"/>
        </c:scaling>
        <c:delete val="0"/>
        <c:axPos val="b"/>
        <c:majorTickMark val="out"/>
        <c:minorTickMark val="none"/>
        <c:tickLblPos val="nextTo"/>
        <c:txPr>
          <a:bodyPr/>
          <a:lstStyle/>
          <a:p>
            <a:pPr>
              <a:defRPr sz="900"/>
            </a:pPr>
            <a:endParaRPr lang="fr-FR"/>
          </a:p>
        </c:txPr>
        <c:crossAx val="42939520"/>
        <c:crosses val="autoZero"/>
        <c:auto val="1"/>
        <c:lblAlgn val="ctr"/>
        <c:lblOffset val="100"/>
        <c:noMultiLvlLbl val="0"/>
      </c:catAx>
      <c:valAx>
        <c:axId val="42939520"/>
        <c:scaling>
          <c:orientation val="minMax"/>
        </c:scaling>
        <c:delete val="0"/>
        <c:axPos val="l"/>
        <c:majorGridlines/>
        <c:numFmt formatCode="General" sourceLinked="1"/>
        <c:majorTickMark val="out"/>
        <c:minorTickMark val="none"/>
        <c:tickLblPos val="nextTo"/>
        <c:txPr>
          <a:bodyPr/>
          <a:lstStyle/>
          <a:p>
            <a:pPr>
              <a:defRPr sz="900"/>
            </a:pPr>
            <a:endParaRPr lang="fr-FR"/>
          </a:p>
        </c:txPr>
        <c:crossAx val="42933632"/>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CH"/>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'B9 graphique (par hab.)'!$E$5</c:f>
              <c:strCache>
                <c:ptCount val="1"/>
                <c:pt idx="0">
                  <c:v>en francs par habitant</c:v>
                </c:pt>
              </c:strCache>
            </c:strRef>
          </c:tx>
          <c:marker>
            <c:symbol val="diamond"/>
            <c:size val="3"/>
          </c:marker>
          <c:cat>
            <c:strRef>
              <c:f>'B9 graphique (par hab.)'!$B$8:$B$170</c:f>
              <c:strCache>
                <c:ptCount val="163"/>
                <c:pt idx="0">
                  <c:v>Crésuz</c:v>
                </c:pt>
                <c:pt idx="1">
                  <c:v>Delley-Portalban</c:v>
                </c:pt>
                <c:pt idx="2">
                  <c:v>Plasselb</c:v>
                </c:pt>
                <c:pt idx="3">
                  <c:v>Rueyres-les-Prés</c:v>
                </c:pt>
                <c:pt idx="4">
                  <c:v>Châtillon</c:v>
                </c:pt>
                <c:pt idx="5">
                  <c:v>Vuissens</c:v>
                </c:pt>
                <c:pt idx="6">
                  <c:v>Kleinbösingen</c:v>
                </c:pt>
                <c:pt idx="7">
                  <c:v>Courlevon</c:v>
                </c:pt>
                <c:pt idx="8">
                  <c:v>Châtel-sur-Montsalvens</c:v>
                </c:pt>
                <c:pt idx="9">
                  <c:v>Rechthalten</c:v>
                </c:pt>
                <c:pt idx="10">
                  <c:v>Galmiz</c:v>
                </c:pt>
                <c:pt idx="11">
                  <c:v>Bas-Intyamon</c:v>
                </c:pt>
                <c:pt idx="12">
                  <c:v>Gletterens</c:v>
                </c:pt>
                <c:pt idx="13">
                  <c:v>St. Silvester</c:v>
                </c:pt>
                <c:pt idx="14">
                  <c:v>St. Antoni</c:v>
                </c:pt>
                <c:pt idx="15">
                  <c:v>Cheyres</c:v>
                </c:pt>
                <c:pt idx="16">
                  <c:v>Plaffeien</c:v>
                </c:pt>
                <c:pt idx="17">
                  <c:v>Léchelles</c:v>
                </c:pt>
                <c:pt idx="18">
                  <c:v>Ueberstorf</c:v>
                </c:pt>
                <c:pt idx="19">
                  <c:v>Greng</c:v>
                </c:pt>
                <c:pt idx="20">
                  <c:v>Bussy</c:v>
                </c:pt>
                <c:pt idx="21">
                  <c:v>Haut-Intyamon</c:v>
                </c:pt>
                <c:pt idx="22">
                  <c:v>Les Montets</c:v>
                </c:pt>
                <c:pt idx="23">
                  <c:v>Chésopelloz</c:v>
                </c:pt>
                <c:pt idx="24">
                  <c:v>Val-de-Charmey</c:v>
                </c:pt>
                <c:pt idx="25">
                  <c:v>Botterens</c:v>
                </c:pt>
                <c:pt idx="26">
                  <c:v>Brünisried</c:v>
                </c:pt>
                <c:pt idx="27">
                  <c:v>Hauteville</c:v>
                </c:pt>
                <c:pt idx="28">
                  <c:v>Russy</c:v>
                </c:pt>
                <c:pt idx="29">
                  <c:v>Semsales</c:v>
                </c:pt>
                <c:pt idx="30">
                  <c:v>Corbières</c:v>
                </c:pt>
                <c:pt idx="31">
                  <c:v>Arconciel</c:v>
                </c:pt>
                <c:pt idx="32">
                  <c:v>Grandvillard</c:v>
                </c:pt>
                <c:pt idx="33">
                  <c:v>Haut-Vully</c:v>
                </c:pt>
                <c:pt idx="34">
                  <c:v>Rue</c:v>
                </c:pt>
                <c:pt idx="35">
                  <c:v>Senèdes</c:v>
                </c:pt>
                <c:pt idx="36">
                  <c:v>Montet (Glâne)</c:v>
                </c:pt>
                <c:pt idx="37">
                  <c:v>Alterswil</c:v>
                </c:pt>
                <c:pt idx="38">
                  <c:v>Heitenried</c:v>
                </c:pt>
                <c:pt idx="39">
                  <c:v>Torny</c:v>
                </c:pt>
                <c:pt idx="40">
                  <c:v>Corserey</c:v>
                </c:pt>
                <c:pt idx="41">
                  <c:v>Düdingen</c:v>
                </c:pt>
                <c:pt idx="42">
                  <c:v>Grangettes</c:v>
                </c:pt>
                <c:pt idx="43">
                  <c:v>Misery-Courtion</c:v>
                </c:pt>
                <c:pt idx="44">
                  <c:v>Ferpicloz</c:v>
                </c:pt>
                <c:pt idx="45">
                  <c:v>Salvenach</c:v>
                </c:pt>
                <c:pt idx="46">
                  <c:v>Barberêche</c:v>
                </c:pt>
                <c:pt idx="47">
                  <c:v>Autigny</c:v>
                </c:pt>
                <c:pt idx="48">
                  <c:v>Dompierre</c:v>
                </c:pt>
                <c:pt idx="49">
                  <c:v>Muntelier</c:v>
                </c:pt>
                <c:pt idx="50">
                  <c:v>Villeneuve</c:v>
                </c:pt>
                <c:pt idx="51">
                  <c:v>La Folliaz</c:v>
                </c:pt>
                <c:pt idx="52">
                  <c:v>Pont-en-Ogoz</c:v>
                </c:pt>
                <c:pt idx="53">
                  <c:v>Sorens</c:v>
                </c:pt>
                <c:pt idx="54">
                  <c:v>St. Ursen</c:v>
                </c:pt>
                <c:pt idx="55">
                  <c:v>Cheiry</c:v>
                </c:pt>
                <c:pt idx="56">
                  <c:v>Ponthaux</c:v>
                </c:pt>
                <c:pt idx="57">
                  <c:v>Chapelle (Glâne)</c:v>
                </c:pt>
                <c:pt idx="58">
                  <c:v>Riaz</c:v>
                </c:pt>
                <c:pt idx="59">
                  <c:v>Surpierre</c:v>
                </c:pt>
                <c:pt idx="60">
                  <c:v>Giffers</c:v>
                </c:pt>
                <c:pt idx="61">
                  <c:v>Ried bei Kerzers</c:v>
                </c:pt>
                <c:pt idx="62">
                  <c:v>Bösingen</c:v>
                </c:pt>
                <c:pt idx="63">
                  <c:v>Gempenach</c:v>
                </c:pt>
                <c:pt idx="64">
                  <c:v>Tentlingen</c:v>
                </c:pt>
                <c:pt idx="65">
                  <c:v>Le Glèbe</c:v>
                </c:pt>
                <c:pt idx="66">
                  <c:v>Ecublens</c:v>
                </c:pt>
                <c:pt idx="67">
                  <c:v>Saint-Aubin</c:v>
                </c:pt>
                <c:pt idx="68">
                  <c:v>Massonnens</c:v>
                </c:pt>
                <c:pt idx="69">
                  <c:v>Villarepos</c:v>
                </c:pt>
                <c:pt idx="70">
                  <c:v>Neyruz</c:v>
                </c:pt>
                <c:pt idx="71">
                  <c:v>Pierrafortscha</c:v>
                </c:pt>
                <c:pt idx="72">
                  <c:v>Prez-vers-Noréaz</c:v>
                </c:pt>
                <c:pt idx="73">
                  <c:v>Autafond</c:v>
                </c:pt>
                <c:pt idx="74">
                  <c:v>Châbles</c:v>
                </c:pt>
                <c:pt idx="75">
                  <c:v>Wallenried</c:v>
                </c:pt>
                <c:pt idx="76">
                  <c:v>Cugy</c:v>
                </c:pt>
                <c:pt idx="77">
                  <c:v>Corpataux-Magnedens</c:v>
                </c:pt>
                <c:pt idx="78">
                  <c:v>Montagny</c:v>
                </c:pt>
                <c:pt idx="79">
                  <c:v>Bas-Vully</c:v>
                </c:pt>
                <c:pt idx="80">
                  <c:v>Vallon</c:v>
                </c:pt>
                <c:pt idx="81">
                  <c:v>Gurmels</c:v>
                </c:pt>
                <c:pt idx="82">
                  <c:v>La Brillaz</c:v>
                </c:pt>
                <c:pt idx="83">
                  <c:v>Tafers</c:v>
                </c:pt>
                <c:pt idx="84">
                  <c:v>Châtel-Saint-Denis</c:v>
                </c:pt>
                <c:pt idx="85">
                  <c:v>Wünnewil-Flamatt</c:v>
                </c:pt>
                <c:pt idx="86">
                  <c:v>Murist</c:v>
                </c:pt>
                <c:pt idx="87">
                  <c:v>Pont-la-Ville</c:v>
                </c:pt>
                <c:pt idx="88">
                  <c:v>Schmitten</c:v>
                </c:pt>
                <c:pt idx="89">
                  <c:v>Gruyères</c:v>
                </c:pt>
                <c:pt idx="90">
                  <c:v>Villorsonnens</c:v>
                </c:pt>
                <c:pt idx="91">
                  <c:v>Morlon</c:v>
                </c:pt>
                <c:pt idx="92">
                  <c:v>Le Châtelard</c:v>
                </c:pt>
                <c:pt idx="93">
                  <c:v>Granges-Paccot</c:v>
                </c:pt>
                <c:pt idx="94">
                  <c:v>Villarsel-sur-Marly</c:v>
                </c:pt>
                <c:pt idx="95">
                  <c:v>Lully</c:v>
                </c:pt>
                <c:pt idx="96">
                  <c:v>Chénens</c:v>
                </c:pt>
                <c:pt idx="97">
                  <c:v>Givisiez</c:v>
                </c:pt>
                <c:pt idx="98">
                  <c:v>Vaulruz</c:v>
                </c:pt>
                <c:pt idx="99">
                  <c:v>Villaz-Saint-Pierre</c:v>
                </c:pt>
                <c:pt idx="100">
                  <c:v>Ependes</c:v>
                </c:pt>
                <c:pt idx="101">
                  <c:v>Hauterive</c:v>
                </c:pt>
                <c:pt idx="102">
                  <c:v>Le Mouret</c:v>
                </c:pt>
                <c:pt idx="103">
                  <c:v>Courgevaux</c:v>
                </c:pt>
                <c:pt idx="104">
                  <c:v>La Roche</c:v>
                </c:pt>
                <c:pt idx="105">
                  <c:v>Auboranges</c:v>
                </c:pt>
                <c:pt idx="106">
                  <c:v>Echarlens</c:v>
                </c:pt>
                <c:pt idx="107">
                  <c:v>Marly</c:v>
                </c:pt>
                <c:pt idx="108">
                  <c:v>Corminboeuf</c:v>
                </c:pt>
                <c:pt idx="109">
                  <c:v>Broc</c:v>
                </c:pt>
                <c:pt idx="110">
                  <c:v>Belfaux</c:v>
                </c:pt>
                <c:pt idx="111">
                  <c:v>Noréaz</c:v>
                </c:pt>
                <c:pt idx="112">
                  <c:v>Lurtigen</c:v>
                </c:pt>
                <c:pt idx="113">
                  <c:v>La Verrerie</c:v>
                </c:pt>
                <c:pt idx="114">
                  <c:v>Avry</c:v>
                </c:pt>
                <c:pt idx="115">
                  <c:v>Vuisternens-en-Ogoz</c:v>
                </c:pt>
                <c:pt idx="116">
                  <c:v>Jaun</c:v>
                </c:pt>
                <c:pt idx="117">
                  <c:v>Siviriez</c:v>
                </c:pt>
                <c:pt idx="118">
                  <c:v>Fétigny</c:v>
                </c:pt>
                <c:pt idx="119">
                  <c:v>Fräschels</c:v>
                </c:pt>
                <c:pt idx="120">
                  <c:v>Remaufens</c:v>
                </c:pt>
                <c:pt idx="121">
                  <c:v>Saint-Martin</c:v>
                </c:pt>
                <c:pt idx="122">
                  <c:v>Kerzers</c:v>
                </c:pt>
                <c:pt idx="123">
                  <c:v>Mézières</c:v>
                </c:pt>
                <c:pt idx="124">
                  <c:v>Grolley</c:v>
                </c:pt>
                <c:pt idx="125">
                  <c:v>Morens</c:v>
                </c:pt>
                <c:pt idx="126">
                  <c:v>Vernay</c:v>
                </c:pt>
                <c:pt idx="127">
                  <c:v>Le Flon</c:v>
                </c:pt>
                <c:pt idx="128">
                  <c:v>Bulle</c:v>
                </c:pt>
                <c:pt idx="129">
                  <c:v>La Sonnaz</c:v>
                </c:pt>
                <c:pt idx="130">
                  <c:v>Cressier</c:v>
                </c:pt>
                <c:pt idx="131">
                  <c:v>Ursy</c:v>
                </c:pt>
                <c:pt idx="132">
                  <c:v>Vuisternens-devant-Romont</c:v>
                </c:pt>
                <c:pt idx="133">
                  <c:v>Ménières</c:v>
                </c:pt>
                <c:pt idx="134">
                  <c:v>Nuvilly</c:v>
                </c:pt>
                <c:pt idx="135">
                  <c:v>Ulmiz</c:v>
                </c:pt>
                <c:pt idx="136">
                  <c:v>Romont</c:v>
                </c:pt>
                <c:pt idx="137">
                  <c:v>Granges</c:v>
                </c:pt>
                <c:pt idx="138">
                  <c:v>Treyvaux</c:v>
                </c:pt>
                <c:pt idx="139">
                  <c:v>Bossonnens</c:v>
                </c:pt>
                <c:pt idx="140">
                  <c:v>Murten</c:v>
                </c:pt>
                <c:pt idx="141">
                  <c:v>Oberschrot</c:v>
                </c:pt>
                <c:pt idx="142">
                  <c:v>Sâles</c:v>
                </c:pt>
                <c:pt idx="143">
                  <c:v>Attalens</c:v>
                </c:pt>
                <c:pt idx="144">
                  <c:v>Farvagny</c:v>
                </c:pt>
                <c:pt idx="145">
                  <c:v>Le Pâquier</c:v>
                </c:pt>
                <c:pt idx="146">
                  <c:v>Zumholz</c:v>
                </c:pt>
                <c:pt idx="147">
                  <c:v>Cottens</c:v>
                </c:pt>
                <c:pt idx="148">
                  <c:v>Rossens</c:v>
                </c:pt>
                <c:pt idx="149">
                  <c:v>Jeuss</c:v>
                </c:pt>
                <c:pt idx="150">
                  <c:v>Fribourg</c:v>
                </c:pt>
                <c:pt idx="151">
                  <c:v>Estavayer-le-Lac</c:v>
                </c:pt>
                <c:pt idx="152">
                  <c:v>Vuadens</c:v>
                </c:pt>
                <c:pt idx="153">
                  <c:v>Domdidier</c:v>
                </c:pt>
                <c:pt idx="154">
                  <c:v>Châtonnaye</c:v>
                </c:pt>
                <c:pt idx="155">
                  <c:v>Courtepin</c:v>
                </c:pt>
                <c:pt idx="156">
                  <c:v>Villars-sur-Glâne</c:v>
                </c:pt>
                <c:pt idx="157">
                  <c:v>Matran</c:v>
                </c:pt>
                <c:pt idx="158">
                  <c:v>Meyriez</c:v>
                </c:pt>
                <c:pt idx="159">
                  <c:v>Sévaz</c:v>
                </c:pt>
                <c:pt idx="160">
                  <c:v>Marsens</c:v>
                </c:pt>
                <c:pt idx="161">
                  <c:v>Billens-Hennens</c:v>
                </c:pt>
                <c:pt idx="162">
                  <c:v>Prévondavaux</c:v>
                </c:pt>
              </c:strCache>
            </c:strRef>
          </c:cat>
          <c:val>
            <c:numRef>
              <c:f>'B9 graphique (par hab.)'!$E$8:$E$170</c:f>
              <c:numCache>
                <c:formatCode>#,##0.00</c:formatCode>
                <c:ptCount val="163"/>
                <c:pt idx="0">
                  <c:v>8.6829487081099614</c:v>
                </c:pt>
                <c:pt idx="1">
                  <c:v>19.03066442930708</c:v>
                </c:pt>
                <c:pt idx="2">
                  <c:v>20.615022469583892</c:v>
                </c:pt>
                <c:pt idx="3">
                  <c:v>22.513381790316089</c:v>
                </c:pt>
                <c:pt idx="4">
                  <c:v>22.679097214166404</c:v>
                </c:pt>
                <c:pt idx="5">
                  <c:v>22.874873179566521</c:v>
                </c:pt>
                <c:pt idx="6">
                  <c:v>23.202112195126347</c:v>
                </c:pt>
                <c:pt idx="7">
                  <c:v>23.371530175141515</c:v>
                </c:pt>
                <c:pt idx="8">
                  <c:v>24.231267072821083</c:v>
                </c:pt>
                <c:pt idx="9">
                  <c:v>24.304238086522446</c:v>
                </c:pt>
                <c:pt idx="10">
                  <c:v>24.586444376913505</c:v>
                </c:pt>
                <c:pt idx="11">
                  <c:v>24.599362566260425</c:v>
                </c:pt>
                <c:pt idx="12">
                  <c:v>24.930033965273424</c:v>
                </c:pt>
                <c:pt idx="13">
                  <c:v>25.392253724064858</c:v>
                </c:pt>
                <c:pt idx="14">
                  <c:v>26.294038064170309</c:v>
                </c:pt>
                <c:pt idx="15">
                  <c:v>26.452048128307524</c:v>
                </c:pt>
                <c:pt idx="16">
                  <c:v>26.818878037355034</c:v>
                </c:pt>
                <c:pt idx="17">
                  <c:v>26.880463785905476</c:v>
                </c:pt>
                <c:pt idx="18">
                  <c:v>26.983931136514002</c:v>
                </c:pt>
                <c:pt idx="19">
                  <c:v>27.087466291572127</c:v>
                </c:pt>
                <c:pt idx="20">
                  <c:v>27.46043295803679</c:v>
                </c:pt>
                <c:pt idx="21">
                  <c:v>27.678630077409025</c:v>
                </c:pt>
                <c:pt idx="22">
                  <c:v>27.977684320561821</c:v>
                </c:pt>
                <c:pt idx="23">
                  <c:v>28.415663477270073</c:v>
                </c:pt>
                <c:pt idx="24">
                  <c:v>28.768321842091154</c:v>
                </c:pt>
                <c:pt idx="25">
                  <c:v>29.010388207595497</c:v>
                </c:pt>
                <c:pt idx="26">
                  <c:v>29.031363201231215</c:v>
                </c:pt>
                <c:pt idx="27">
                  <c:v>29.312433695954496</c:v>
                </c:pt>
                <c:pt idx="28">
                  <c:v>29.400458124533543</c:v>
                </c:pt>
                <c:pt idx="29">
                  <c:v>29.467343310707747</c:v>
                </c:pt>
                <c:pt idx="30">
                  <c:v>29.643956904644483</c:v>
                </c:pt>
                <c:pt idx="31">
                  <c:v>29.665439728742967</c:v>
                </c:pt>
                <c:pt idx="32">
                  <c:v>29.987438574797579</c:v>
                </c:pt>
                <c:pt idx="33">
                  <c:v>30.160145218339721</c:v>
                </c:pt>
                <c:pt idx="34">
                  <c:v>30.378606211744</c:v>
                </c:pt>
                <c:pt idx="35">
                  <c:v>30.587846086139734</c:v>
                </c:pt>
                <c:pt idx="36">
                  <c:v>30.620007356893893</c:v>
                </c:pt>
                <c:pt idx="37">
                  <c:v>30.735549698320483</c:v>
                </c:pt>
                <c:pt idx="38">
                  <c:v>30.815481157158501</c:v>
                </c:pt>
                <c:pt idx="39">
                  <c:v>30.99066287706637</c:v>
                </c:pt>
                <c:pt idx="40">
                  <c:v>31.9548489327467</c:v>
                </c:pt>
                <c:pt idx="41">
                  <c:v>31.992852962081997</c:v>
                </c:pt>
                <c:pt idx="42">
                  <c:v>32.037273310408864</c:v>
                </c:pt>
                <c:pt idx="43">
                  <c:v>32.20892647396704</c:v>
                </c:pt>
                <c:pt idx="44">
                  <c:v>32.319979208889436</c:v>
                </c:pt>
                <c:pt idx="45">
                  <c:v>32.556438331529307</c:v>
                </c:pt>
                <c:pt idx="46">
                  <c:v>32.878965248075929</c:v>
                </c:pt>
                <c:pt idx="47">
                  <c:v>32.916202176686511</c:v>
                </c:pt>
                <c:pt idx="48">
                  <c:v>33.270211518174392</c:v>
                </c:pt>
                <c:pt idx="49">
                  <c:v>33.386120922457167</c:v>
                </c:pt>
                <c:pt idx="50">
                  <c:v>34.005749805357027</c:v>
                </c:pt>
                <c:pt idx="51">
                  <c:v>34.354394453020177</c:v>
                </c:pt>
                <c:pt idx="52">
                  <c:v>34.532959032261715</c:v>
                </c:pt>
                <c:pt idx="53">
                  <c:v>34.61158788159878</c:v>
                </c:pt>
                <c:pt idx="54">
                  <c:v>34.615401113958569</c:v>
                </c:pt>
                <c:pt idx="55">
                  <c:v>34.640199001391238</c:v>
                </c:pt>
                <c:pt idx="56">
                  <c:v>34.695969095828559</c:v>
                </c:pt>
                <c:pt idx="57">
                  <c:v>34.774198277744517</c:v>
                </c:pt>
                <c:pt idx="58">
                  <c:v>34.900900636970846</c:v>
                </c:pt>
                <c:pt idx="59">
                  <c:v>34.91149221228693</c:v>
                </c:pt>
                <c:pt idx="60">
                  <c:v>34.960512946723611</c:v>
                </c:pt>
                <c:pt idx="61">
                  <c:v>35.034002090925242</c:v>
                </c:pt>
                <c:pt idx="62">
                  <c:v>35.19379750873577</c:v>
                </c:pt>
                <c:pt idx="63">
                  <c:v>35.537486575928369</c:v>
                </c:pt>
                <c:pt idx="64">
                  <c:v>35.978708101496522</c:v>
                </c:pt>
                <c:pt idx="65">
                  <c:v>36.006018351587727</c:v>
                </c:pt>
                <c:pt idx="66">
                  <c:v>36.048541632450906</c:v>
                </c:pt>
                <c:pt idx="67">
                  <c:v>36.162188882770351</c:v>
                </c:pt>
                <c:pt idx="68">
                  <c:v>36.165329857758024</c:v>
                </c:pt>
                <c:pt idx="69">
                  <c:v>36.20401969743898</c:v>
                </c:pt>
                <c:pt idx="70">
                  <c:v>36.436215530265827</c:v>
                </c:pt>
                <c:pt idx="71">
                  <c:v>36.564055284404276</c:v>
                </c:pt>
                <c:pt idx="72">
                  <c:v>36.619000637196223</c:v>
                </c:pt>
                <c:pt idx="73">
                  <c:v>36.797400707620909</c:v>
                </c:pt>
                <c:pt idx="74">
                  <c:v>36.937103421076245</c:v>
                </c:pt>
                <c:pt idx="75">
                  <c:v>37.11719453885712</c:v>
                </c:pt>
                <c:pt idx="76">
                  <c:v>37.127683247047798</c:v>
                </c:pt>
                <c:pt idx="77">
                  <c:v>37.484259411890662</c:v>
                </c:pt>
                <c:pt idx="78">
                  <c:v>37.659025195524009</c:v>
                </c:pt>
                <c:pt idx="79">
                  <c:v>37.68782018758975</c:v>
                </c:pt>
                <c:pt idx="80">
                  <c:v>37.842195139257001</c:v>
                </c:pt>
                <c:pt idx="81">
                  <c:v>37.844753760148706</c:v>
                </c:pt>
                <c:pt idx="82">
                  <c:v>37.868791322985317</c:v>
                </c:pt>
                <c:pt idx="83">
                  <c:v>38.032420312220665</c:v>
                </c:pt>
                <c:pt idx="84">
                  <c:v>38.132012722251829</c:v>
                </c:pt>
                <c:pt idx="85">
                  <c:v>38.157067509766421</c:v>
                </c:pt>
                <c:pt idx="86">
                  <c:v>38.23671601840806</c:v>
                </c:pt>
                <c:pt idx="87">
                  <c:v>38.81013264225885</c:v>
                </c:pt>
                <c:pt idx="88">
                  <c:v>38.932748371781372</c:v>
                </c:pt>
                <c:pt idx="89">
                  <c:v>39.139411771017421</c:v>
                </c:pt>
                <c:pt idx="90">
                  <c:v>39.395641719306241</c:v>
                </c:pt>
                <c:pt idx="91">
                  <c:v>39.507904315564929</c:v>
                </c:pt>
                <c:pt idx="92">
                  <c:v>39.838710202742959</c:v>
                </c:pt>
                <c:pt idx="93">
                  <c:v>40.003663192270096</c:v>
                </c:pt>
                <c:pt idx="94">
                  <c:v>40.025854607571091</c:v>
                </c:pt>
                <c:pt idx="95">
                  <c:v>40.305055909385601</c:v>
                </c:pt>
                <c:pt idx="96">
                  <c:v>40.738154683875564</c:v>
                </c:pt>
                <c:pt idx="97">
                  <c:v>40.826529866985538</c:v>
                </c:pt>
                <c:pt idx="98">
                  <c:v>41.087975067237494</c:v>
                </c:pt>
                <c:pt idx="99">
                  <c:v>41.14965008690092</c:v>
                </c:pt>
                <c:pt idx="100">
                  <c:v>41.19364882990817</c:v>
                </c:pt>
                <c:pt idx="101">
                  <c:v>41.205870253650801</c:v>
                </c:pt>
                <c:pt idx="102">
                  <c:v>41.206911045695051</c:v>
                </c:pt>
                <c:pt idx="103">
                  <c:v>41.211795775031533</c:v>
                </c:pt>
                <c:pt idx="104">
                  <c:v>41.227197045505818</c:v>
                </c:pt>
                <c:pt idx="105">
                  <c:v>41.231360983770173</c:v>
                </c:pt>
                <c:pt idx="106">
                  <c:v>41.430047026917464</c:v>
                </c:pt>
                <c:pt idx="107">
                  <c:v>41.514578767587409</c:v>
                </c:pt>
                <c:pt idx="108">
                  <c:v>41.808325113628598</c:v>
                </c:pt>
                <c:pt idx="109">
                  <c:v>41.847909322849091</c:v>
                </c:pt>
                <c:pt idx="110">
                  <c:v>41.935446589603998</c:v>
                </c:pt>
                <c:pt idx="111">
                  <c:v>42.047498804709448</c:v>
                </c:pt>
                <c:pt idx="112">
                  <c:v>42.057256750479382</c:v>
                </c:pt>
                <c:pt idx="113">
                  <c:v>42.220202378869999</c:v>
                </c:pt>
                <c:pt idx="114">
                  <c:v>42.858669514743269</c:v>
                </c:pt>
                <c:pt idx="115">
                  <c:v>43.142089659802195</c:v>
                </c:pt>
                <c:pt idx="116">
                  <c:v>43.615797843488963</c:v>
                </c:pt>
                <c:pt idx="117">
                  <c:v>43.880869887636663</c:v>
                </c:pt>
                <c:pt idx="118">
                  <c:v>43.885602284111883</c:v>
                </c:pt>
                <c:pt idx="119">
                  <c:v>44.108995699887146</c:v>
                </c:pt>
                <c:pt idx="120">
                  <c:v>44.176951441814026</c:v>
                </c:pt>
                <c:pt idx="121">
                  <c:v>44.240418935020216</c:v>
                </c:pt>
                <c:pt idx="122">
                  <c:v>44.291996903149993</c:v>
                </c:pt>
                <c:pt idx="123">
                  <c:v>44.542692036873632</c:v>
                </c:pt>
                <c:pt idx="124">
                  <c:v>44.586570121781733</c:v>
                </c:pt>
                <c:pt idx="125">
                  <c:v>44.979369292280126</c:v>
                </c:pt>
                <c:pt idx="126">
                  <c:v>45.041643243469935</c:v>
                </c:pt>
                <c:pt idx="127">
                  <c:v>45.234021325660251</c:v>
                </c:pt>
                <c:pt idx="128">
                  <c:v>45.418360666149056</c:v>
                </c:pt>
                <c:pt idx="129">
                  <c:v>45.690719910490316</c:v>
                </c:pt>
                <c:pt idx="130">
                  <c:v>45.99733877216363</c:v>
                </c:pt>
                <c:pt idx="131">
                  <c:v>46.135652218114501</c:v>
                </c:pt>
                <c:pt idx="132">
                  <c:v>46.197951907538254</c:v>
                </c:pt>
                <c:pt idx="133">
                  <c:v>46.843014840302658</c:v>
                </c:pt>
                <c:pt idx="134">
                  <c:v>48.233905241623233</c:v>
                </c:pt>
                <c:pt idx="135">
                  <c:v>48.418604001577023</c:v>
                </c:pt>
                <c:pt idx="136">
                  <c:v>48.498926148410419</c:v>
                </c:pt>
                <c:pt idx="137">
                  <c:v>48.734350470323989</c:v>
                </c:pt>
                <c:pt idx="138">
                  <c:v>49.013226671128677</c:v>
                </c:pt>
                <c:pt idx="139">
                  <c:v>49.0920745567023</c:v>
                </c:pt>
                <c:pt idx="140">
                  <c:v>49.506689896901435</c:v>
                </c:pt>
                <c:pt idx="141">
                  <c:v>49.95120972094719</c:v>
                </c:pt>
                <c:pt idx="142">
                  <c:v>50.389224371897626</c:v>
                </c:pt>
                <c:pt idx="143">
                  <c:v>50.474937516742784</c:v>
                </c:pt>
                <c:pt idx="144">
                  <c:v>50.515177699868218</c:v>
                </c:pt>
                <c:pt idx="145">
                  <c:v>50.689830560656901</c:v>
                </c:pt>
                <c:pt idx="146">
                  <c:v>51.593986117839677</c:v>
                </c:pt>
                <c:pt idx="147">
                  <c:v>51.606334646608047</c:v>
                </c:pt>
                <c:pt idx="148">
                  <c:v>52.254867899423743</c:v>
                </c:pt>
                <c:pt idx="149">
                  <c:v>52.390459823629953</c:v>
                </c:pt>
                <c:pt idx="150">
                  <c:v>52.694983720366736</c:v>
                </c:pt>
                <c:pt idx="151">
                  <c:v>53.709305303235169</c:v>
                </c:pt>
                <c:pt idx="152">
                  <c:v>53.937847471403302</c:v>
                </c:pt>
                <c:pt idx="153">
                  <c:v>54.111818586930667</c:v>
                </c:pt>
                <c:pt idx="154">
                  <c:v>54.645892586482887</c:v>
                </c:pt>
                <c:pt idx="155">
                  <c:v>56.30121263162664</c:v>
                </c:pt>
                <c:pt idx="156">
                  <c:v>58.589283587905584</c:v>
                </c:pt>
                <c:pt idx="157">
                  <c:v>61.272695246254216</c:v>
                </c:pt>
                <c:pt idx="158">
                  <c:v>61.28515636160796</c:v>
                </c:pt>
                <c:pt idx="159">
                  <c:v>63.949848525973266</c:v>
                </c:pt>
                <c:pt idx="160">
                  <c:v>65.069950899944388</c:v>
                </c:pt>
                <c:pt idx="161">
                  <c:v>65.725902093849754</c:v>
                </c:pt>
                <c:pt idx="162">
                  <c:v>66.51051843749201</c:v>
                </c:pt>
              </c:numCache>
            </c:numRef>
          </c:val>
          <c:smooth val="0"/>
        </c:ser>
        <c:dLbls>
          <c:showLegendKey val="0"/>
          <c:showVal val="0"/>
          <c:showCatName val="0"/>
          <c:showSerName val="0"/>
          <c:showPercent val="0"/>
          <c:showBubbleSize val="0"/>
        </c:dLbls>
        <c:marker val="1"/>
        <c:smooth val="0"/>
        <c:axId val="42971904"/>
        <c:axId val="42973440"/>
      </c:lineChart>
      <c:catAx>
        <c:axId val="42971904"/>
        <c:scaling>
          <c:orientation val="minMax"/>
        </c:scaling>
        <c:delete val="0"/>
        <c:axPos val="b"/>
        <c:majorTickMark val="out"/>
        <c:minorTickMark val="none"/>
        <c:tickLblPos val="nextTo"/>
        <c:txPr>
          <a:bodyPr/>
          <a:lstStyle/>
          <a:p>
            <a:pPr>
              <a:defRPr sz="1100" b="1"/>
            </a:pPr>
            <a:endParaRPr lang="fr-FR"/>
          </a:p>
        </c:txPr>
        <c:crossAx val="42973440"/>
        <c:crosses val="autoZero"/>
        <c:auto val="1"/>
        <c:lblAlgn val="ctr"/>
        <c:lblOffset val="100"/>
        <c:noMultiLvlLbl val="0"/>
      </c:catAx>
      <c:valAx>
        <c:axId val="42973440"/>
        <c:scaling>
          <c:orientation val="minMax"/>
        </c:scaling>
        <c:delete val="0"/>
        <c:axPos val="l"/>
        <c:majorGridlines/>
        <c:numFmt formatCode="#,##0.00" sourceLinked="1"/>
        <c:majorTickMark val="out"/>
        <c:minorTickMark val="none"/>
        <c:tickLblPos val="nextTo"/>
        <c:txPr>
          <a:bodyPr/>
          <a:lstStyle/>
          <a:p>
            <a:pPr>
              <a:defRPr sz="1100" b="1"/>
            </a:pPr>
            <a:endParaRPr lang="fr-FR"/>
          </a:p>
        </c:txPr>
        <c:crossAx val="42971904"/>
        <c:crosses val="autoZero"/>
        <c:crossBetween val="between"/>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CH"/>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'B10 graphiques  (% dép. init.)'!$C$7</c:f>
              <c:strCache>
                <c:ptCount val="1"/>
                <c:pt idx="0">
                  <c:v>en % de la dépense initiale</c:v>
                </c:pt>
              </c:strCache>
            </c:strRef>
          </c:tx>
          <c:spPr>
            <a:ln>
              <a:solidFill>
                <a:srgbClr val="7030A0"/>
              </a:solidFill>
            </a:ln>
          </c:spPr>
          <c:marker>
            <c:symbol val="circle"/>
            <c:size val="3"/>
            <c:spPr>
              <a:solidFill>
                <a:srgbClr val="7030A0"/>
              </a:solidFill>
              <a:ln>
                <a:solidFill>
                  <a:srgbClr val="7030A0"/>
                </a:solidFill>
              </a:ln>
            </c:spPr>
          </c:marker>
          <c:cat>
            <c:strRef>
              <c:f>'B10 graphiques  (% dép. init.)'!$B$8:$B$170</c:f>
              <c:strCache>
                <c:ptCount val="163"/>
                <c:pt idx="0">
                  <c:v>Crésuz</c:v>
                </c:pt>
                <c:pt idx="1">
                  <c:v>Delley-Portalban</c:v>
                </c:pt>
                <c:pt idx="2">
                  <c:v>Plasselb</c:v>
                </c:pt>
                <c:pt idx="3">
                  <c:v>Vuissens</c:v>
                </c:pt>
                <c:pt idx="4">
                  <c:v>Châtillon</c:v>
                </c:pt>
                <c:pt idx="5">
                  <c:v>Rueyres-les-Prés</c:v>
                </c:pt>
                <c:pt idx="6">
                  <c:v>Kleinbösingen</c:v>
                </c:pt>
                <c:pt idx="7">
                  <c:v>Courlevon</c:v>
                </c:pt>
                <c:pt idx="8">
                  <c:v>Gletterens</c:v>
                </c:pt>
                <c:pt idx="9">
                  <c:v>Bas-Intyamon</c:v>
                </c:pt>
                <c:pt idx="10">
                  <c:v>Châtel-sur-Montsalvens</c:v>
                </c:pt>
                <c:pt idx="11">
                  <c:v>Rechthalten</c:v>
                </c:pt>
                <c:pt idx="12">
                  <c:v>Galmiz</c:v>
                </c:pt>
                <c:pt idx="13">
                  <c:v>St. Silvester</c:v>
                </c:pt>
                <c:pt idx="14">
                  <c:v>Cheyres</c:v>
                </c:pt>
                <c:pt idx="15">
                  <c:v>St. Antoni</c:v>
                </c:pt>
                <c:pt idx="16">
                  <c:v>Bussy</c:v>
                </c:pt>
                <c:pt idx="17">
                  <c:v>Léchelles</c:v>
                </c:pt>
                <c:pt idx="18">
                  <c:v>Plaffeien</c:v>
                </c:pt>
                <c:pt idx="19">
                  <c:v>Ueberstorf</c:v>
                </c:pt>
                <c:pt idx="20">
                  <c:v>Greng</c:v>
                </c:pt>
                <c:pt idx="21">
                  <c:v>Les Montets</c:v>
                </c:pt>
                <c:pt idx="22">
                  <c:v>Haut-Intyamon</c:v>
                </c:pt>
                <c:pt idx="23">
                  <c:v>Chésopelloz</c:v>
                </c:pt>
                <c:pt idx="24">
                  <c:v>Semsales</c:v>
                </c:pt>
                <c:pt idx="25">
                  <c:v>Botterens</c:v>
                </c:pt>
                <c:pt idx="26">
                  <c:v>Val-de-Charmey</c:v>
                </c:pt>
                <c:pt idx="27">
                  <c:v>Corbières</c:v>
                </c:pt>
                <c:pt idx="28">
                  <c:v>Hauteville</c:v>
                </c:pt>
                <c:pt idx="29">
                  <c:v>Brünisried</c:v>
                </c:pt>
                <c:pt idx="30">
                  <c:v>Russy</c:v>
                </c:pt>
                <c:pt idx="31">
                  <c:v>Grandvillard</c:v>
                </c:pt>
                <c:pt idx="32">
                  <c:v>Montet (Glâne)</c:v>
                </c:pt>
                <c:pt idx="33">
                  <c:v>Senèdes</c:v>
                </c:pt>
                <c:pt idx="34">
                  <c:v>Rue</c:v>
                </c:pt>
                <c:pt idx="35">
                  <c:v>Arconciel</c:v>
                </c:pt>
                <c:pt idx="36">
                  <c:v>Haut-Vully</c:v>
                </c:pt>
                <c:pt idx="37">
                  <c:v>Corserey</c:v>
                </c:pt>
                <c:pt idx="38">
                  <c:v>Heitenried</c:v>
                </c:pt>
                <c:pt idx="39">
                  <c:v>Torny</c:v>
                </c:pt>
                <c:pt idx="40">
                  <c:v>Alterswil</c:v>
                </c:pt>
                <c:pt idx="41">
                  <c:v>Grangettes</c:v>
                </c:pt>
                <c:pt idx="42">
                  <c:v>Ferpicloz</c:v>
                </c:pt>
                <c:pt idx="43">
                  <c:v>Misery-Courtion</c:v>
                </c:pt>
                <c:pt idx="44">
                  <c:v>Düdingen</c:v>
                </c:pt>
                <c:pt idx="45">
                  <c:v>Dompierre</c:v>
                </c:pt>
                <c:pt idx="46">
                  <c:v>Salvenach</c:v>
                </c:pt>
                <c:pt idx="47">
                  <c:v>Autigny</c:v>
                </c:pt>
                <c:pt idx="48">
                  <c:v>Barberêche</c:v>
                </c:pt>
                <c:pt idx="49">
                  <c:v>Muntelier</c:v>
                </c:pt>
                <c:pt idx="50">
                  <c:v>Villeneuve</c:v>
                </c:pt>
                <c:pt idx="51">
                  <c:v>Ponthaux</c:v>
                </c:pt>
                <c:pt idx="52">
                  <c:v>Pont-en-Ogoz</c:v>
                </c:pt>
                <c:pt idx="53">
                  <c:v>La Folliaz</c:v>
                </c:pt>
                <c:pt idx="54">
                  <c:v>Sorens</c:v>
                </c:pt>
                <c:pt idx="55">
                  <c:v>Cheiry</c:v>
                </c:pt>
                <c:pt idx="56">
                  <c:v>Chapelle (Glâne)</c:v>
                </c:pt>
                <c:pt idx="57">
                  <c:v>Ecublens</c:v>
                </c:pt>
                <c:pt idx="58">
                  <c:v>St. Ursen</c:v>
                </c:pt>
                <c:pt idx="59">
                  <c:v>Bösingen</c:v>
                </c:pt>
                <c:pt idx="60">
                  <c:v>Surpierre</c:v>
                </c:pt>
                <c:pt idx="61">
                  <c:v>Riaz</c:v>
                </c:pt>
                <c:pt idx="62">
                  <c:v>Ried bei Kerzers</c:v>
                </c:pt>
                <c:pt idx="63">
                  <c:v>Massonnens</c:v>
                </c:pt>
                <c:pt idx="64">
                  <c:v>Giffers</c:v>
                </c:pt>
                <c:pt idx="65">
                  <c:v>Gempenach</c:v>
                </c:pt>
                <c:pt idx="66">
                  <c:v>Le Glèbe</c:v>
                </c:pt>
                <c:pt idx="67">
                  <c:v>Villarepos</c:v>
                </c:pt>
                <c:pt idx="68">
                  <c:v>Saint-Aubin</c:v>
                </c:pt>
                <c:pt idx="69">
                  <c:v>Neyruz</c:v>
                </c:pt>
                <c:pt idx="70">
                  <c:v>Wallenried</c:v>
                </c:pt>
                <c:pt idx="71">
                  <c:v>Pierrafortscha</c:v>
                </c:pt>
                <c:pt idx="72">
                  <c:v>Prez-vers-Noréaz</c:v>
                </c:pt>
                <c:pt idx="73">
                  <c:v>Tentlingen</c:v>
                </c:pt>
                <c:pt idx="74">
                  <c:v>Corpataux-Magnedens</c:v>
                </c:pt>
                <c:pt idx="75">
                  <c:v>Châbles</c:v>
                </c:pt>
                <c:pt idx="76">
                  <c:v>Vallon</c:v>
                </c:pt>
                <c:pt idx="77">
                  <c:v>Cugy</c:v>
                </c:pt>
                <c:pt idx="78">
                  <c:v>Autafond</c:v>
                </c:pt>
                <c:pt idx="79">
                  <c:v>Tafers</c:v>
                </c:pt>
                <c:pt idx="80">
                  <c:v>La Brillaz</c:v>
                </c:pt>
                <c:pt idx="81">
                  <c:v>Montagny</c:v>
                </c:pt>
                <c:pt idx="82">
                  <c:v>Bas-Vully</c:v>
                </c:pt>
                <c:pt idx="83">
                  <c:v>Châtel-Saint-Denis</c:v>
                </c:pt>
                <c:pt idx="84">
                  <c:v>Murist</c:v>
                </c:pt>
                <c:pt idx="85">
                  <c:v>Gurmels</c:v>
                </c:pt>
                <c:pt idx="86">
                  <c:v>Gruyères</c:v>
                </c:pt>
                <c:pt idx="87">
                  <c:v>Wünnewil-Flamatt</c:v>
                </c:pt>
                <c:pt idx="88">
                  <c:v>Pont-la-Ville</c:v>
                </c:pt>
                <c:pt idx="89">
                  <c:v>Schmitten</c:v>
                </c:pt>
                <c:pt idx="90">
                  <c:v>Granges-Paccot</c:v>
                </c:pt>
                <c:pt idx="91">
                  <c:v>Morlon</c:v>
                </c:pt>
                <c:pt idx="92">
                  <c:v>Villorsonnens</c:v>
                </c:pt>
                <c:pt idx="93">
                  <c:v>Lully</c:v>
                </c:pt>
                <c:pt idx="94">
                  <c:v>Le Châtelard</c:v>
                </c:pt>
                <c:pt idx="95">
                  <c:v>Auboranges</c:v>
                </c:pt>
                <c:pt idx="96">
                  <c:v>Villaz-Saint-Pierre</c:v>
                </c:pt>
                <c:pt idx="97">
                  <c:v>Villarsel-sur-Marly</c:v>
                </c:pt>
                <c:pt idx="98">
                  <c:v>Echarlens</c:v>
                </c:pt>
                <c:pt idx="99">
                  <c:v>Chénens</c:v>
                </c:pt>
                <c:pt idx="100">
                  <c:v>Hauterive</c:v>
                </c:pt>
                <c:pt idx="101">
                  <c:v>La Roche</c:v>
                </c:pt>
                <c:pt idx="102">
                  <c:v>Courgevaux</c:v>
                </c:pt>
                <c:pt idx="103">
                  <c:v>Givisiez</c:v>
                </c:pt>
                <c:pt idx="104">
                  <c:v>Vaulruz</c:v>
                </c:pt>
                <c:pt idx="105">
                  <c:v>Ependes</c:v>
                </c:pt>
                <c:pt idx="106">
                  <c:v>Le Mouret</c:v>
                </c:pt>
                <c:pt idx="107">
                  <c:v>Belfaux</c:v>
                </c:pt>
                <c:pt idx="108">
                  <c:v>Broc</c:v>
                </c:pt>
                <c:pt idx="109">
                  <c:v>Noréaz</c:v>
                </c:pt>
                <c:pt idx="110">
                  <c:v>Marly</c:v>
                </c:pt>
                <c:pt idx="111">
                  <c:v>La Verrerie</c:v>
                </c:pt>
                <c:pt idx="112">
                  <c:v>Corminboeuf</c:v>
                </c:pt>
                <c:pt idx="113">
                  <c:v>Avry</c:v>
                </c:pt>
                <c:pt idx="114">
                  <c:v>Vuisternens-en-Ogoz</c:v>
                </c:pt>
                <c:pt idx="115">
                  <c:v>Lurtigen</c:v>
                </c:pt>
                <c:pt idx="116">
                  <c:v>Fétigny</c:v>
                </c:pt>
                <c:pt idx="117">
                  <c:v>Remaufens</c:v>
                </c:pt>
                <c:pt idx="118">
                  <c:v>Siviriez</c:v>
                </c:pt>
                <c:pt idx="119">
                  <c:v>Saint-Martin</c:v>
                </c:pt>
                <c:pt idx="120">
                  <c:v>Grolley</c:v>
                </c:pt>
                <c:pt idx="121">
                  <c:v>Jaun</c:v>
                </c:pt>
                <c:pt idx="122">
                  <c:v>Kerzers</c:v>
                </c:pt>
                <c:pt idx="123">
                  <c:v>Le Flon</c:v>
                </c:pt>
                <c:pt idx="124">
                  <c:v>Fräschels</c:v>
                </c:pt>
                <c:pt idx="125">
                  <c:v>Bulle</c:v>
                </c:pt>
                <c:pt idx="126">
                  <c:v>Mézières</c:v>
                </c:pt>
                <c:pt idx="127">
                  <c:v>Vernay</c:v>
                </c:pt>
                <c:pt idx="128">
                  <c:v>Morens</c:v>
                </c:pt>
                <c:pt idx="129">
                  <c:v>Ursy</c:v>
                </c:pt>
                <c:pt idx="130">
                  <c:v>La Sonnaz</c:v>
                </c:pt>
                <c:pt idx="131">
                  <c:v>Vuisternens-devant-Romont</c:v>
                </c:pt>
                <c:pt idx="132">
                  <c:v>Ménières</c:v>
                </c:pt>
                <c:pt idx="133">
                  <c:v>Cressier</c:v>
                </c:pt>
                <c:pt idx="134">
                  <c:v>Nuvilly</c:v>
                </c:pt>
                <c:pt idx="135">
                  <c:v>Granges</c:v>
                </c:pt>
                <c:pt idx="136">
                  <c:v>Romont</c:v>
                </c:pt>
                <c:pt idx="137">
                  <c:v>Bossonnens</c:v>
                </c:pt>
                <c:pt idx="138">
                  <c:v>Treyvaux</c:v>
                </c:pt>
                <c:pt idx="139">
                  <c:v>Ulmiz</c:v>
                </c:pt>
                <c:pt idx="140">
                  <c:v>Murten</c:v>
                </c:pt>
                <c:pt idx="141">
                  <c:v>Attalens</c:v>
                </c:pt>
                <c:pt idx="142">
                  <c:v>Zumholz</c:v>
                </c:pt>
                <c:pt idx="143">
                  <c:v>Oberschrot</c:v>
                </c:pt>
                <c:pt idx="144">
                  <c:v>Cottens</c:v>
                </c:pt>
                <c:pt idx="145">
                  <c:v>Sâles</c:v>
                </c:pt>
                <c:pt idx="146">
                  <c:v>Farvagny</c:v>
                </c:pt>
                <c:pt idx="147">
                  <c:v>Le Pâquier</c:v>
                </c:pt>
                <c:pt idx="148">
                  <c:v>Rossens</c:v>
                </c:pt>
                <c:pt idx="149">
                  <c:v>Fribourg</c:v>
                </c:pt>
                <c:pt idx="150">
                  <c:v>Jeuss</c:v>
                </c:pt>
                <c:pt idx="151">
                  <c:v>Vuadens</c:v>
                </c:pt>
                <c:pt idx="152">
                  <c:v>Domdidier</c:v>
                </c:pt>
                <c:pt idx="153">
                  <c:v>Estavayer-le-Lac</c:v>
                </c:pt>
                <c:pt idx="154">
                  <c:v>Châtonnaye</c:v>
                </c:pt>
                <c:pt idx="155">
                  <c:v>Courtepin</c:v>
                </c:pt>
                <c:pt idx="156">
                  <c:v>Villars-sur-Glâne</c:v>
                </c:pt>
                <c:pt idx="157">
                  <c:v>Sévaz</c:v>
                </c:pt>
                <c:pt idx="158">
                  <c:v>Matran</c:v>
                </c:pt>
                <c:pt idx="159">
                  <c:v>Meyriez</c:v>
                </c:pt>
                <c:pt idx="160">
                  <c:v>Marsens</c:v>
                </c:pt>
                <c:pt idx="161">
                  <c:v>Prévondavaux</c:v>
                </c:pt>
                <c:pt idx="162">
                  <c:v>Billens-Hennens</c:v>
                </c:pt>
              </c:strCache>
            </c:strRef>
          </c:cat>
          <c:val>
            <c:numRef>
              <c:f>'B10 graphiques  (% dép. init.)'!$G$8:$G$170</c:f>
              <c:numCache>
                <c:formatCode>0.00%</c:formatCode>
                <c:ptCount val="163"/>
                <c:pt idx="0">
                  <c:v>7.187466984247136E-3</c:v>
                </c:pt>
                <c:pt idx="1">
                  <c:v>1.2817976935533442E-2</c:v>
                </c:pt>
                <c:pt idx="2">
                  <c:v>1.3766477717926126E-2</c:v>
                </c:pt>
                <c:pt idx="3">
                  <c:v>1.4261553348811337E-2</c:v>
                </c:pt>
                <c:pt idx="4">
                  <c:v>1.4421467563586074E-2</c:v>
                </c:pt>
                <c:pt idx="5">
                  <c:v>1.4471992494257601E-2</c:v>
                </c:pt>
                <c:pt idx="6">
                  <c:v>1.508809206173381E-2</c:v>
                </c:pt>
                <c:pt idx="7">
                  <c:v>1.5134226656658209E-2</c:v>
                </c:pt>
                <c:pt idx="8">
                  <c:v>1.542105313905571E-2</c:v>
                </c:pt>
                <c:pt idx="9">
                  <c:v>1.5579619709029926E-2</c:v>
                </c:pt>
                <c:pt idx="10">
                  <c:v>1.5586296014232032E-2</c:v>
                </c:pt>
                <c:pt idx="11">
                  <c:v>1.5671439766461688E-2</c:v>
                </c:pt>
                <c:pt idx="12">
                  <c:v>1.5722262773956591E-2</c:v>
                </c:pt>
                <c:pt idx="13">
                  <c:v>1.6111379036938784E-2</c:v>
                </c:pt>
                <c:pt idx="14">
                  <c:v>1.6147029773579985E-2</c:v>
                </c:pt>
                <c:pt idx="15">
                  <c:v>1.661709609414605E-2</c:v>
                </c:pt>
                <c:pt idx="16">
                  <c:v>1.6718361262937336E-2</c:v>
                </c:pt>
                <c:pt idx="17">
                  <c:v>1.6747736441867358E-2</c:v>
                </c:pt>
                <c:pt idx="18">
                  <c:v>1.6768860530618063E-2</c:v>
                </c:pt>
                <c:pt idx="19">
                  <c:v>1.6917136198098655E-2</c:v>
                </c:pt>
                <c:pt idx="20">
                  <c:v>1.6989193832469631E-2</c:v>
                </c:pt>
                <c:pt idx="21">
                  <c:v>1.7178980911349218E-2</c:v>
                </c:pt>
                <c:pt idx="22">
                  <c:v>1.7250756147646481E-2</c:v>
                </c:pt>
                <c:pt idx="23">
                  <c:v>1.7379487449570571E-2</c:v>
                </c:pt>
                <c:pt idx="24">
                  <c:v>1.7613481940996142E-2</c:v>
                </c:pt>
                <c:pt idx="25">
                  <c:v>1.7661057126364055E-2</c:v>
                </c:pt>
                <c:pt idx="26">
                  <c:v>1.7695659803542711E-2</c:v>
                </c:pt>
                <c:pt idx="27">
                  <c:v>1.7797462137953895E-2</c:v>
                </c:pt>
                <c:pt idx="28">
                  <c:v>1.7840107258712341E-2</c:v>
                </c:pt>
                <c:pt idx="29">
                  <c:v>1.784469279948311E-2</c:v>
                </c:pt>
                <c:pt idx="30">
                  <c:v>1.7848822153712609E-2</c:v>
                </c:pt>
                <c:pt idx="31">
                  <c:v>1.7987362353347986E-2</c:v>
                </c:pt>
                <c:pt idx="32">
                  <c:v>1.7991692797553912E-2</c:v>
                </c:pt>
                <c:pt idx="33">
                  <c:v>1.805437260249565E-2</c:v>
                </c:pt>
                <c:pt idx="34">
                  <c:v>1.8154947433285051E-2</c:v>
                </c:pt>
                <c:pt idx="35">
                  <c:v>1.8170964448836691E-2</c:v>
                </c:pt>
                <c:pt idx="36">
                  <c:v>1.8366239768753474E-2</c:v>
                </c:pt>
                <c:pt idx="37">
                  <c:v>1.846856931158852E-2</c:v>
                </c:pt>
                <c:pt idx="38">
                  <c:v>1.8527274312475694E-2</c:v>
                </c:pt>
                <c:pt idx="39">
                  <c:v>1.852884120222402E-2</c:v>
                </c:pt>
                <c:pt idx="40">
                  <c:v>1.852954708208043E-2</c:v>
                </c:pt>
                <c:pt idx="41">
                  <c:v>1.8723760051269921E-2</c:v>
                </c:pt>
                <c:pt idx="42">
                  <c:v>1.8984962695951142E-2</c:v>
                </c:pt>
                <c:pt idx="43">
                  <c:v>1.8985462557509641E-2</c:v>
                </c:pt>
                <c:pt idx="44">
                  <c:v>1.9166434953873799E-2</c:v>
                </c:pt>
                <c:pt idx="45">
                  <c:v>1.9196530648503185E-2</c:v>
                </c:pt>
                <c:pt idx="46">
                  <c:v>1.928344049101411E-2</c:v>
                </c:pt>
                <c:pt idx="47">
                  <c:v>1.9484338622708035E-2</c:v>
                </c:pt>
                <c:pt idx="48">
                  <c:v>1.9655008565635696E-2</c:v>
                </c:pt>
                <c:pt idx="49">
                  <c:v>1.9666908282776712E-2</c:v>
                </c:pt>
                <c:pt idx="50">
                  <c:v>1.9762129434425853E-2</c:v>
                </c:pt>
                <c:pt idx="51">
                  <c:v>2.0013736798571158E-2</c:v>
                </c:pt>
                <c:pt idx="52">
                  <c:v>2.0026368376452709E-2</c:v>
                </c:pt>
                <c:pt idx="53">
                  <c:v>2.007286839553489E-2</c:v>
                </c:pt>
                <c:pt idx="54">
                  <c:v>2.0169238894570059E-2</c:v>
                </c:pt>
                <c:pt idx="55">
                  <c:v>2.0299178228024049E-2</c:v>
                </c:pt>
                <c:pt idx="56">
                  <c:v>2.0304448715749598E-2</c:v>
                </c:pt>
                <c:pt idx="57">
                  <c:v>2.0351661445969987E-2</c:v>
                </c:pt>
                <c:pt idx="58">
                  <c:v>2.0396587180985772E-2</c:v>
                </c:pt>
                <c:pt idx="59">
                  <c:v>2.0425320023850644E-2</c:v>
                </c:pt>
                <c:pt idx="60">
                  <c:v>2.0430708515868753E-2</c:v>
                </c:pt>
                <c:pt idx="61">
                  <c:v>2.0431282609389881E-2</c:v>
                </c:pt>
                <c:pt idx="62">
                  <c:v>2.043651101015094E-2</c:v>
                </c:pt>
                <c:pt idx="63">
                  <c:v>2.0486758378649977E-2</c:v>
                </c:pt>
                <c:pt idx="64">
                  <c:v>2.0552348648017072E-2</c:v>
                </c:pt>
                <c:pt idx="65">
                  <c:v>2.071184327505492E-2</c:v>
                </c:pt>
                <c:pt idx="66">
                  <c:v>2.0760456330431099E-2</c:v>
                </c:pt>
                <c:pt idx="67">
                  <c:v>2.0773866493197613E-2</c:v>
                </c:pt>
                <c:pt idx="68">
                  <c:v>2.0802634012847408E-2</c:v>
                </c:pt>
                <c:pt idx="69">
                  <c:v>2.0873426937737277E-2</c:v>
                </c:pt>
                <c:pt idx="70">
                  <c:v>2.0986707435602298E-2</c:v>
                </c:pt>
                <c:pt idx="71">
                  <c:v>2.1005514903849148E-2</c:v>
                </c:pt>
                <c:pt idx="72">
                  <c:v>2.1008589561212977E-2</c:v>
                </c:pt>
                <c:pt idx="73">
                  <c:v>2.1008918549191045E-2</c:v>
                </c:pt>
                <c:pt idx="74">
                  <c:v>2.108468593962028E-2</c:v>
                </c:pt>
                <c:pt idx="75">
                  <c:v>2.1196609758181936E-2</c:v>
                </c:pt>
                <c:pt idx="76">
                  <c:v>2.1222573891663012E-2</c:v>
                </c:pt>
                <c:pt idx="77">
                  <c:v>2.1252595116507077E-2</c:v>
                </c:pt>
                <c:pt idx="78">
                  <c:v>2.1309337857663996E-2</c:v>
                </c:pt>
                <c:pt idx="79">
                  <c:v>2.1525175318388618E-2</c:v>
                </c:pt>
                <c:pt idx="80">
                  <c:v>2.1550147363996547E-2</c:v>
                </c:pt>
                <c:pt idx="81">
                  <c:v>2.1562188732113075E-2</c:v>
                </c:pt>
                <c:pt idx="82">
                  <c:v>2.1573355002679626E-2</c:v>
                </c:pt>
                <c:pt idx="83">
                  <c:v>2.1653165380608536E-2</c:v>
                </c:pt>
                <c:pt idx="84">
                  <c:v>2.173805469114266E-2</c:v>
                </c:pt>
                <c:pt idx="85">
                  <c:v>2.1753349950796041E-2</c:v>
                </c:pt>
                <c:pt idx="86">
                  <c:v>2.1903478840120949E-2</c:v>
                </c:pt>
                <c:pt idx="87">
                  <c:v>2.194501525721641E-2</c:v>
                </c:pt>
                <c:pt idx="88">
                  <c:v>2.2021504998096544E-2</c:v>
                </c:pt>
                <c:pt idx="89">
                  <c:v>2.2153053617269807E-2</c:v>
                </c:pt>
                <c:pt idx="90">
                  <c:v>2.2176438199061722E-2</c:v>
                </c:pt>
                <c:pt idx="91">
                  <c:v>2.2340264082104294E-2</c:v>
                </c:pt>
                <c:pt idx="92">
                  <c:v>2.239394892534664E-2</c:v>
                </c:pt>
                <c:pt idx="93">
                  <c:v>2.2424273873701672E-2</c:v>
                </c:pt>
                <c:pt idx="94">
                  <c:v>2.249030715446473E-2</c:v>
                </c:pt>
                <c:pt idx="95">
                  <c:v>2.2599490639441024E-2</c:v>
                </c:pt>
                <c:pt idx="96">
                  <c:v>2.2622046238159294E-2</c:v>
                </c:pt>
                <c:pt idx="97">
                  <c:v>2.2654603845067345E-2</c:v>
                </c:pt>
                <c:pt idx="98">
                  <c:v>2.2721240399849185E-2</c:v>
                </c:pt>
                <c:pt idx="99">
                  <c:v>2.283127436409638E-2</c:v>
                </c:pt>
                <c:pt idx="100">
                  <c:v>2.2907876286444463E-2</c:v>
                </c:pt>
                <c:pt idx="101">
                  <c:v>2.2945667880126197E-2</c:v>
                </c:pt>
                <c:pt idx="102">
                  <c:v>2.2969683509401886E-2</c:v>
                </c:pt>
                <c:pt idx="103">
                  <c:v>2.3038151317015348E-2</c:v>
                </c:pt>
                <c:pt idx="104">
                  <c:v>2.3059200819670191E-2</c:v>
                </c:pt>
                <c:pt idx="105">
                  <c:v>2.3132631390507686E-2</c:v>
                </c:pt>
                <c:pt idx="106">
                  <c:v>2.314315896835685E-2</c:v>
                </c:pt>
                <c:pt idx="107">
                  <c:v>2.3206103570731728E-2</c:v>
                </c:pt>
                <c:pt idx="108">
                  <c:v>2.321332129927629E-2</c:v>
                </c:pt>
                <c:pt idx="109">
                  <c:v>2.3276980319891272E-2</c:v>
                </c:pt>
                <c:pt idx="110">
                  <c:v>2.3303502184808287E-2</c:v>
                </c:pt>
                <c:pt idx="111">
                  <c:v>2.3399051769062457E-2</c:v>
                </c:pt>
                <c:pt idx="112">
                  <c:v>2.3415580682318596E-2</c:v>
                </c:pt>
                <c:pt idx="113">
                  <c:v>2.3546153995472097E-2</c:v>
                </c:pt>
                <c:pt idx="114">
                  <c:v>2.355556964382503E-2</c:v>
                </c:pt>
                <c:pt idx="115">
                  <c:v>2.3599455415943531E-2</c:v>
                </c:pt>
                <c:pt idx="116">
                  <c:v>2.3956079490542626E-2</c:v>
                </c:pt>
                <c:pt idx="117">
                  <c:v>2.4072439860456721E-2</c:v>
                </c:pt>
                <c:pt idx="118">
                  <c:v>2.4136726014805182E-2</c:v>
                </c:pt>
                <c:pt idx="119">
                  <c:v>2.4215611284842287E-2</c:v>
                </c:pt>
                <c:pt idx="120">
                  <c:v>2.4263333006041058E-2</c:v>
                </c:pt>
                <c:pt idx="121">
                  <c:v>2.4368224987730638E-2</c:v>
                </c:pt>
                <c:pt idx="122">
                  <c:v>2.4441455487014194E-2</c:v>
                </c:pt>
                <c:pt idx="123">
                  <c:v>2.4512191393187055E-2</c:v>
                </c:pt>
                <c:pt idx="124">
                  <c:v>2.4600532910587881E-2</c:v>
                </c:pt>
                <c:pt idx="125">
                  <c:v>2.4628528669150204E-2</c:v>
                </c:pt>
                <c:pt idx="126">
                  <c:v>2.464413536990237E-2</c:v>
                </c:pt>
                <c:pt idx="127">
                  <c:v>2.4720690600575291E-2</c:v>
                </c:pt>
                <c:pt idx="128">
                  <c:v>2.4770387020409349E-2</c:v>
                </c:pt>
                <c:pt idx="129">
                  <c:v>2.49242059962087E-2</c:v>
                </c:pt>
                <c:pt idx="130">
                  <c:v>2.4964697000632908E-2</c:v>
                </c:pt>
                <c:pt idx="131">
                  <c:v>2.5062276384780913E-2</c:v>
                </c:pt>
                <c:pt idx="132">
                  <c:v>2.5207238993439171E-2</c:v>
                </c:pt>
                <c:pt idx="133">
                  <c:v>2.5260744478677499E-2</c:v>
                </c:pt>
                <c:pt idx="134">
                  <c:v>2.5585599011870182E-2</c:v>
                </c:pt>
                <c:pt idx="135">
                  <c:v>2.5909734855853139E-2</c:v>
                </c:pt>
                <c:pt idx="136">
                  <c:v>2.5944747639547891E-2</c:v>
                </c:pt>
                <c:pt idx="137">
                  <c:v>2.6186302892056021E-2</c:v>
                </c:pt>
                <c:pt idx="138">
                  <c:v>2.6459523264370965E-2</c:v>
                </c:pt>
                <c:pt idx="139">
                  <c:v>2.6459822358945704E-2</c:v>
                </c:pt>
                <c:pt idx="140">
                  <c:v>2.6619725968624275E-2</c:v>
                </c:pt>
                <c:pt idx="141">
                  <c:v>2.6693147924329017E-2</c:v>
                </c:pt>
                <c:pt idx="142">
                  <c:v>2.6739402062876654E-2</c:v>
                </c:pt>
                <c:pt idx="143">
                  <c:v>2.6772230902698677E-2</c:v>
                </c:pt>
                <c:pt idx="144">
                  <c:v>2.6790297079878969E-2</c:v>
                </c:pt>
                <c:pt idx="145">
                  <c:v>2.6877142737281801E-2</c:v>
                </c:pt>
                <c:pt idx="146">
                  <c:v>2.7033830557906476E-2</c:v>
                </c:pt>
                <c:pt idx="147">
                  <c:v>2.7172442739410173E-2</c:v>
                </c:pt>
                <c:pt idx="148">
                  <c:v>2.7689477482095395E-2</c:v>
                </c:pt>
                <c:pt idx="149">
                  <c:v>2.774418927917631E-2</c:v>
                </c:pt>
                <c:pt idx="150">
                  <c:v>2.7884021777766155E-2</c:v>
                </c:pt>
                <c:pt idx="151">
                  <c:v>2.8009851926087209E-2</c:v>
                </c:pt>
                <c:pt idx="152">
                  <c:v>2.8038595927602522E-2</c:v>
                </c:pt>
                <c:pt idx="153">
                  <c:v>2.8042498232570018E-2</c:v>
                </c:pt>
                <c:pt idx="154">
                  <c:v>2.8485184236003807E-2</c:v>
                </c:pt>
                <c:pt idx="155">
                  <c:v>2.8870799498784978E-2</c:v>
                </c:pt>
                <c:pt idx="156">
                  <c:v>2.9971910552444646E-2</c:v>
                </c:pt>
                <c:pt idx="157">
                  <c:v>3.0613555030783918E-2</c:v>
                </c:pt>
                <c:pt idx="158">
                  <c:v>3.141093991200896E-2</c:v>
                </c:pt>
                <c:pt idx="159">
                  <c:v>3.1457815407492977E-2</c:v>
                </c:pt>
                <c:pt idx="160">
                  <c:v>3.2336362167404924E-2</c:v>
                </c:pt>
                <c:pt idx="161">
                  <c:v>3.2835434724279328E-2</c:v>
                </c:pt>
                <c:pt idx="162">
                  <c:v>3.2855169886633388E-2</c:v>
                </c:pt>
              </c:numCache>
            </c:numRef>
          </c:val>
          <c:smooth val="0"/>
        </c:ser>
        <c:dLbls>
          <c:showLegendKey val="0"/>
          <c:showVal val="0"/>
          <c:showCatName val="0"/>
          <c:showSerName val="0"/>
          <c:showPercent val="0"/>
          <c:showBubbleSize val="0"/>
        </c:dLbls>
        <c:marker val="1"/>
        <c:smooth val="0"/>
        <c:axId val="42022400"/>
        <c:axId val="42024320"/>
      </c:lineChart>
      <c:catAx>
        <c:axId val="42022400"/>
        <c:scaling>
          <c:orientation val="minMax"/>
        </c:scaling>
        <c:delete val="0"/>
        <c:axPos val="b"/>
        <c:majorTickMark val="out"/>
        <c:minorTickMark val="none"/>
        <c:tickLblPos val="nextTo"/>
        <c:txPr>
          <a:bodyPr/>
          <a:lstStyle/>
          <a:p>
            <a:pPr>
              <a:defRPr sz="1100" b="1"/>
            </a:pPr>
            <a:endParaRPr lang="fr-FR"/>
          </a:p>
        </c:txPr>
        <c:crossAx val="42024320"/>
        <c:crosses val="autoZero"/>
        <c:auto val="1"/>
        <c:lblAlgn val="ctr"/>
        <c:lblOffset val="100"/>
        <c:noMultiLvlLbl val="0"/>
      </c:catAx>
      <c:valAx>
        <c:axId val="42024320"/>
        <c:scaling>
          <c:orientation val="minMax"/>
          <c:max val="3.500000000000001E-2"/>
          <c:min val="0"/>
        </c:scaling>
        <c:delete val="0"/>
        <c:axPos val="l"/>
        <c:majorGridlines/>
        <c:numFmt formatCode="0.00%" sourceLinked="1"/>
        <c:majorTickMark val="out"/>
        <c:minorTickMark val="none"/>
        <c:tickLblPos val="nextTo"/>
        <c:txPr>
          <a:bodyPr/>
          <a:lstStyle/>
          <a:p>
            <a:pPr>
              <a:defRPr sz="1100" b="1"/>
            </a:pPr>
            <a:endParaRPr lang="fr-FR"/>
          </a:p>
        </c:txPr>
        <c:crossAx val="42022400"/>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CH"/>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100"/>
              <a:t>Graphique</a:t>
            </a:r>
            <a:r>
              <a:rPr lang="en-US" sz="1100" baseline="0"/>
              <a:t> 2-3         Nombre de communes </a:t>
            </a:r>
            <a:r>
              <a:rPr lang="en-US" sz="1100" b="0" baseline="0"/>
              <a:t>(vertical),  </a:t>
            </a:r>
          </a:p>
          <a:p>
            <a:pPr>
              <a:defRPr sz="1050"/>
            </a:pPr>
            <a:r>
              <a:rPr lang="en-US" sz="1100" baseline="0"/>
              <a:t>distribution en </a:t>
            </a:r>
            <a:r>
              <a:rPr lang="en-US" sz="1100"/>
              <a:t> % de la dépense initiale </a:t>
            </a:r>
            <a:r>
              <a:rPr lang="en-US" sz="1100" b="0"/>
              <a:t>(horizontal)</a:t>
            </a:r>
          </a:p>
        </c:rich>
      </c:tx>
      <c:layout>
        <c:manualLayout>
          <c:xMode val="edge"/>
          <c:yMode val="edge"/>
          <c:x val="0.21967980295566503"/>
          <c:y val="2.2085881035358277E-2"/>
        </c:manualLayout>
      </c:layout>
      <c:overlay val="0"/>
    </c:title>
    <c:autoTitleDeleted val="0"/>
    <c:plotArea>
      <c:layout>
        <c:manualLayout>
          <c:layoutTarget val="inner"/>
          <c:xMode val="edge"/>
          <c:yMode val="edge"/>
          <c:x val="0.10015176182852426"/>
          <c:y val="0.16950913694637479"/>
          <c:w val="0.87275468116387911"/>
          <c:h val="0.63783154186196778"/>
        </c:manualLayout>
      </c:layout>
      <c:barChart>
        <c:barDir val="col"/>
        <c:grouping val="clustered"/>
        <c:varyColors val="0"/>
        <c:ser>
          <c:idx val="0"/>
          <c:order val="0"/>
          <c:tx>
            <c:strRef>
              <c:f>'B10 graphiques  (% dép. init.)'!$E$7</c:f>
              <c:strCache>
                <c:ptCount val="1"/>
                <c:pt idx="0">
                  <c:v>en % de la dépense initiale</c:v>
                </c:pt>
              </c:strCache>
            </c:strRef>
          </c:tx>
          <c:invertIfNegative val="0"/>
          <c:dLbls>
            <c:txPr>
              <a:bodyPr/>
              <a:lstStyle/>
              <a:p>
                <a:pPr>
                  <a:defRPr b="1">
                    <a:solidFill>
                      <a:srgbClr val="0070C0"/>
                    </a:solidFill>
                  </a:defRPr>
                </a:pPr>
                <a:endParaRPr lang="fr-FR"/>
              </a:p>
            </c:txPr>
            <c:showLegendKey val="0"/>
            <c:showVal val="1"/>
            <c:showCatName val="0"/>
            <c:showSerName val="0"/>
            <c:showPercent val="0"/>
            <c:showBubbleSize val="0"/>
            <c:showLeaderLines val="0"/>
          </c:dLbls>
          <c:cat>
            <c:strRef>
              <c:f>'B10 graphiques  (% dép. init.)'!$J$4:$J$17</c:f>
              <c:strCache>
                <c:ptCount val="12"/>
                <c:pt idx="0">
                  <c:v>&lt; 0.99</c:v>
                </c:pt>
                <c:pt idx="1">
                  <c:v>1.00 - 1.30</c:v>
                </c:pt>
                <c:pt idx="2">
                  <c:v>1.31 - 1.57</c:v>
                </c:pt>
                <c:pt idx="3">
                  <c:v>1.58 – 1.80</c:v>
                </c:pt>
                <c:pt idx="4">
                  <c:v>1.81 – 2.03</c:v>
                </c:pt>
                <c:pt idx="5">
                  <c:v>2.04 – 2.24</c:v>
                </c:pt>
                <c:pt idx="6">
                  <c:v>2.25 - 2.49</c:v>
                </c:pt>
                <c:pt idx="7">
                  <c:v>2.50 - 2.68</c:v>
                </c:pt>
                <c:pt idx="8">
                  <c:v>2.69 – 2.85</c:v>
                </c:pt>
                <c:pt idx="9">
                  <c:v>2.86 - 3.00</c:v>
                </c:pt>
                <c:pt idx="10">
                  <c:v>3.01 - 3.19</c:v>
                </c:pt>
                <c:pt idx="11">
                  <c:v>&gt; 3.20</c:v>
                </c:pt>
              </c:strCache>
            </c:strRef>
          </c:cat>
          <c:val>
            <c:numRef>
              <c:f>'B10 graphiques  (% dép. init.)'!$K$4:$K$15</c:f>
              <c:numCache>
                <c:formatCode>General</c:formatCode>
                <c:ptCount val="12"/>
                <c:pt idx="0">
                  <c:v>1</c:v>
                </c:pt>
                <c:pt idx="1">
                  <c:v>1</c:v>
                </c:pt>
                <c:pt idx="2">
                  <c:v>11</c:v>
                </c:pt>
                <c:pt idx="3">
                  <c:v>20</c:v>
                </c:pt>
                <c:pt idx="4">
                  <c:v>24</c:v>
                </c:pt>
                <c:pt idx="5">
                  <c:v>37</c:v>
                </c:pt>
                <c:pt idx="6">
                  <c:v>36</c:v>
                </c:pt>
                <c:pt idx="7">
                  <c:v>15</c:v>
                </c:pt>
                <c:pt idx="8">
                  <c:v>10</c:v>
                </c:pt>
                <c:pt idx="9">
                  <c:v>2</c:v>
                </c:pt>
                <c:pt idx="10">
                  <c:v>3</c:v>
                </c:pt>
                <c:pt idx="11">
                  <c:v>3</c:v>
                </c:pt>
              </c:numCache>
            </c:numRef>
          </c:val>
        </c:ser>
        <c:dLbls>
          <c:showLegendKey val="0"/>
          <c:showVal val="0"/>
          <c:showCatName val="0"/>
          <c:showSerName val="0"/>
          <c:showPercent val="0"/>
          <c:showBubbleSize val="0"/>
        </c:dLbls>
        <c:gapWidth val="150"/>
        <c:axId val="42040320"/>
        <c:axId val="42066688"/>
      </c:barChart>
      <c:catAx>
        <c:axId val="42040320"/>
        <c:scaling>
          <c:orientation val="minMax"/>
        </c:scaling>
        <c:delete val="0"/>
        <c:axPos val="b"/>
        <c:numFmt formatCode="General" sourceLinked="1"/>
        <c:majorTickMark val="out"/>
        <c:minorTickMark val="none"/>
        <c:tickLblPos val="nextTo"/>
        <c:txPr>
          <a:bodyPr rot="0" vert="horz"/>
          <a:lstStyle/>
          <a:p>
            <a:pPr>
              <a:defRPr sz="1000" b="0"/>
            </a:pPr>
            <a:endParaRPr lang="fr-FR"/>
          </a:p>
        </c:txPr>
        <c:crossAx val="42066688"/>
        <c:crosses val="autoZero"/>
        <c:auto val="1"/>
        <c:lblAlgn val="ctr"/>
        <c:lblOffset val="100"/>
        <c:noMultiLvlLbl val="0"/>
      </c:catAx>
      <c:valAx>
        <c:axId val="42066688"/>
        <c:scaling>
          <c:orientation val="minMax"/>
        </c:scaling>
        <c:delete val="0"/>
        <c:axPos val="l"/>
        <c:majorGridlines/>
        <c:numFmt formatCode="General" sourceLinked="1"/>
        <c:majorTickMark val="out"/>
        <c:minorTickMark val="none"/>
        <c:tickLblPos val="nextTo"/>
        <c:txPr>
          <a:bodyPr/>
          <a:lstStyle/>
          <a:p>
            <a:pPr>
              <a:defRPr sz="1100"/>
            </a:pPr>
            <a:endParaRPr lang="fr-FR"/>
          </a:p>
        </c:txPr>
        <c:crossAx val="42040320"/>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CH"/>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221519360641714E-2"/>
          <c:y val="0.14136267459155974"/>
          <c:w val="0.9479039488041523"/>
          <c:h val="0.52491943108338457"/>
        </c:manualLayout>
      </c:layout>
      <c:lineChart>
        <c:grouping val="standard"/>
        <c:varyColors val="0"/>
        <c:ser>
          <c:idx val="0"/>
          <c:order val="0"/>
          <c:tx>
            <c:strRef>
              <c:f>'B11 graphiques  (PF)'!$F$7</c:f>
              <c:strCache>
                <c:ptCount val="1"/>
                <c:pt idx="0">
                  <c:v>moyenne
2011-2012</c:v>
                </c:pt>
              </c:strCache>
            </c:strRef>
          </c:tx>
          <c:spPr>
            <a:ln>
              <a:solidFill>
                <a:schemeClr val="accent3">
                  <a:lumMod val="50000"/>
                </a:schemeClr>
              </a:solidFill>
            </a:ln>
          </c:spPr>
          <c:marker>
            <c:symbol val="diamond"/>
            <c:size val="3"/>
            <c:spPr>
              <a:solidFill>
                <a:schemeClr val="accent3">
                  <a:lumMod val="50000"/>
                </a:schemeClr>
              </a:solidFill>
              <a:ln>
                <a:solidFill>
                  <a:schemeClr val="accent3">
                    <a:lumMod val="50000"/>
                  </a:schemeClr>
                </a:solidFill>
              </a:ln>
            </c:spPr>
          </c:marker>
          <c:cat>
            <c:strRef>
              <c:f>'B11 graphiques  (PF)'!$B$8:$B$170</c:f>
              <c:strCache>
                <c:ptCount val="163"/>
                <c:pt idx="0">
                  <c:v>Crésuz</c:v>
                </c:pt>
                <c:pt idx="1">
                  <c:v>Greng</c:v>
                </c:pt>
                <c:pt idx="2">
                  <c:v>Ferpicloz</c:v>
                </c:pt>
                <c:pt idx="3">
                  <c:v>Siviriez</c:v>
                </c:pt>
                <c:pt idx="4">
                  <c:v>Cressier</c:v>
                </c:pt>
                <c:pt idx="5">
                  <c:v>Haut-Vully</c:v>
                </c:pt>
                <c:pt idx="6">
                  <c:v>Muntelier</c:v>
                </c:pt>
                <c:pt idx="7">
                  <c:v>Châtillon</c:v>
                </c:pt>
                <c:pt idx="8">
                  <c:v>Cheyres</c:v>
                </c:pt>
                <c:pt idx="9">
                  <c:v>Kleinbösingen</c:v>
                </c:pt>
                <c:pt idx="10">
                  <c:v>Chésopelloz</c:v>
                </c:pt>
                <c:pt idx="11">
                  <c:v>Pierrafortscha</c:v>
                </c:pt>
                <c:pt idx="12">
                  <c:v>Delley-Portalban</c:v>
                </c:pt>
                <c:pt idx="13">
                  <c:v>Châtel-sur-Montsalvens</c:v>
                </c:pt>
                <c:pt idx="14">
                  <c:v>Granges-Paccot</c:v>
                </c:pt>
                <c:pt idx="15">
                  <c:v>Gletterens</c:v>
                </c:pt>
                <c:pt idx="16">
                  <c:v>Galmiz</c:v>
                </c:pt>
                <c:pt idx="17">
                  <c:v>Givisiez</c:v>
                </c:pt>
                <c:pt idx="18">
                  <c:v>Rueyres-les-Prés</c:v>
                </c:pt>
                <c:pt idx="19">
                  <c:v>Rechthalten</c:v>
                </c:pt>
                <c:pt idx="20">
                  <c:v>Ueberstorf</c:v>
                </c:pt>
                <c:pt idx="21">
                  <c:v>Courlevon</c:v>
                </c:pt>
                <c:pt idx="22">
                  <c:v>Avry</c:v>
                </c:pt>
                <c:pt idx="23">
                  <c:v>Val-de-Charmey</c:v>
                </c:pt>
                <c:pt idx="24">
                  <c:v>Düdingen</c:v>
                </c:pt>
                <c:pt idx="25">
                  <c:v>Léchelles</c:v>
                </c:pt>
                <c:pt idx="26">
                  <c:v>Montet (Glâne)</c:v>
                </c:pt>
                <c:pt idx="27">
                  <c:v>Corminboeuf</c:v>
                </c:pt>
                <c:pt idx="28">
                  <c:v>Plasselb</c:v>
                </c:pt>
                <c:pt idx="29">
                  <c:v>Vuissens</c:v>
                </c:pt>
                <c:pt idx="30">
                  <c:v>Arconciel</c:v>
                </c:pt>
                <c:pt idx="31">
                  <c:v>Auboranges</c:v>
                </c:pt>
                <c:pt idx="32">
                  <c:v>Bussy</c:v>
                </c:pt>
                <c:pt idx="33">
                  <c:v>Ried bei Kerzers</c:v>
                </c:pt>
                <c:pt idx="34">
                  <c:v>Sorens</c:v>
                </c:pt>
                <c:pt idx="35">
                  <c:v>Châtel-Saint-Denis</c:v>
                </c:pt>
                <c:pt idx="36">
                  <c:v>Hauteville</c:v>
                </c:pt>
                <c:pt idx="37">
                  <c:v>Bas-Vully</c:v>
                </c:pt>
                <c:pt idx="38">
                  <c:v>Corbières</c:v>
                </c:pt>
                <c:pt idx="39">
                  <c:v>Semsales</c:v>
                </c:pt>
                <c:pt idx="40">
                  <c:v>Villars-sur-Glâne</c:v>
                </c:pt>
                <c:pt idx="41">
                  <c:v>Grandvillard</c:v>
                </c:pt>
                <c:pt idx="42">
                  <c:v>Morlon</c:v>
                </c:pt>
                <c:pt idx="43">
                  <c:v>Pont-en-Ogoz</c:v>
                </c:pt>
                <c:pt idx="44">
                  <c:v>Bas-Intyamon</c:v>
                </c:pt>
                <c:pt idx="45">
                  <c:v>Barberêche</c:v>
                </c:pt>
                <c:pt idx="46">
                  <c:v>St. Antoni</c:v>
                </c:pt>
                <c:pt idx="47">
                  <c:v>Plaffeien</c:v>
                </c:pt>
                <c:pt idx="48">
                  <c:v>Riaz</c:v>
                </c:pt>
                <c:pt idx="49">
                  <c:v>Botterens</c:v>
                </c:pt>
                <c:pt idx="50">
                  <c:v>Schmitten</c:v>
                </c:pt>
                <c:pt idx="51">
                  <c:v>Neyruz</c:v>
                </c:pt>
                <c:pt idx="52">
                  <c:v>Wallenried</c:v>
                </c:pt>
                <c:pt idx="53">
                  <c:v>Chapelle (Glâne)</c:v>
                </c:pt>
                <c:pt idx="54">
                  <c:v>Corserey</c:v>
                </c:pt>
                <c:pt idx="55">
                  <c:v>Torny</c:v>
                </c:pt>
                <c:pt idx="56">
                  <c:v>Châbles</c:v>
                </c:pt>
                <c:pt idx="57">
                  <c:v>Courgevaux</c:v>
                </c:pt>
                <c:pt idx="58">
                  <c:v>Rue</c:v>
                </c:pt>
                <c:pt idx="59">
                  <c:v>Senèdes</c:v>
                </c:pt>
                <c:pt idx="60">
                  <c:v>Les Montets</c:v>
                </c:pt>
                <c:pt idx="61">
                  <c:v>Tafers</c:v>
                </c:pt>
                <c:pt idx="62">
                  <c:v>Villarepos</c:v>
                </c:pt>
                <c:pt idx="63">
                  <c:v>La Brillaz</c:v>
                </c:pt>
                <c:pt idx="64">
                  <c:v>Meyriez</c:v>
                </c:pt>
                <c:pt idx="65">
                  <c:v>Bulle</c:v>
                </c:pt>
                <c:pt idx="66">
                  <c:v>Saint-Aubin</c:v>
                </c:pt>
                <c:pt idx="67">
                  <c:v>Salvenach</c:v>
                </c:pt>
                <c:pt idx="68">
                  <c:v>Murten</c:v>
                </c:pt>
                <c:pt idx="69">
                  <c:v>Echarlens</c:v>
                </c:pt>
                <c:pt idx="70">
                  <c:v>Tentlingen</c:v>
                </c:pt>
                <c:pt idx="71">
                  <c:v>Alterswil</c:v>
                </c:pt>
                <c:pt idx="72">
                  <c:v>Gruyères</c:v>
                </c:pt>
                <c:pt idx="73">
                  <c:v>Cugy</c:v>
                </c:pt>
                <c:pt idx="74">
                  <c:v>Marly</c:v>
                </c:pt>
                <c:pt idx="75">
                  <c:v>Brünisried</c:v>
                </c:pt>
                <c:pt idx="76">
                  <c:v>Hauterive</c:v>
                </c:pt>
                <c:pt idx="77">
                  <c:v>Pont-la-Ville</c:v>
                </c:pt>
                <c:pt idx="78">
                  <c:v>Bösingen</c:v>
                </c:pt>
                <c:pt idx="79">
                  <c:v>St. Silvester</c:v>
                </c:pt>
                <c:pt idx="80">
                  <c:v>Haut-Intyamon</c:v>
                </c:pt>
                <c:pt idx="81">
                  <c:v>Misery-Courtion</c:v>
                </c:pt>
                <c:pt idx="82">
                  <c:v>Rossens</c:v>
                </c:pt>
                <c:pt idx="83">
                  <c:v>Prez-vers-Noréaz</c:v>
                </c:pt>
                <c:pt idx="84">
                  <c:v>Ponthaux</c:v>
                </c:pt>
                <c:pt idx="85">
                  <c:v>Grangettes</c:v>
                </c:pt>
                <c:pt idx="86">
                  <c:v>Russy</c:v>
                </c:pt>
                <c:pt idx="87">
                  <c:v>Corpataux-Magnedens</c:v>
                </c:pt>
                <c:pt idx="88">
                  <c:v>Heitenried</c:v>
                </c:pt>
                <c:pt idx="89">
                  <c:v>Wünnewil-Flamatt</c:v>
                </c:pt>
                <c:pt idx="90">
                  <c:v>Giffers</c:v>
                </c:pt>
                <c:pt idx="91">
                  <c:v>Gurmels</c:v>
                </c:pt>
                <c:pt idx="92">
                  <c:v>Autigny</c:v>
                </c:pt>
                <c:pt idx="93">
                  <c:v>Le Glèbe</c:v>
                </c:pt>
                <c:pt idx="94">
                  <c:v>Fribourg</c:v>
                </c:pt>
                <c:pt idx="95">
                  <c:v>St. Ursen</c:v>
                </c:pt>
                <c:pt idx="96">
                  <c:v>Granges</c:v>
                </c:pt>
                <c:pt idx="97">
                  <c:v>Kerzers</c:v>
                </c:pt>
                <c:pt idx="98">
                  <c:v>La Sonnaz</c:v>
                </c:pt>
                <c:pt idx="99">
                  <c:v>Fräschels</c:v>
                </c:pt>
                <c:pt idx="100">
                  <c:v>La Roche</c:v>
                </c:pt>
                <c:pt idx="101">
                  <c:v>Ependes</c:v>
                </c:pt>
                <c:pt idx="102">
                  <c:v>Vallon</c:v>
                </c:pt>
                <c:pt idx="103">
                  <c:v>Morens</c:v>
                </c:pt>
                <c:pt idx="104">
                  <c:v>Remaufens</c:v>
                </c:pt>
                <c:pt idx="105">
                  <c:v>Vaulruz</c:v>
                </c:pt>
                <c:pt idx="106">
                  <c:v>Villaz-Saint-Pierre</c:v>
                </c:pt>
                <c:pt idx="107">
                  <c:v>Belfaux</c:v>
                </c:pt>
                <c:pt idx="108">
                  <c:v>Domdidier</c:v>
                </c:pt>
                <c:pt idx="109">
                  <c:v>Gempenach</c:v>
                </c:pt>
                <c:pt idx="110">
                  <c:v>Villeneuve</c:v>
                </c:pt>
                <c:pt idx="111">
                  <c:v>Dompierre</c:v>
                </c:pt>
                <c:pt idx="112">
                  <c:v>Le Mouret</c:v>
                </c:pt>
                <c:pt idx="113">
                  <c:v>Attalens</c:v>
                </c:pt>
                <c:pt idx="114">
                  <c:v>Lully</c:v>
                </c:pt>
                <c:pt idx="115">
                  <c:v>La Folliaz</c:v>
                </c:pt>
                <c:pt idx="116">
                  <c:v>Noréaz</c:v>
                </c:pt>
                <c:pt idx="117">
                  <c:v>Montagny</c:v>
                </c:pt>
                <c:pt idx="118">
                  <c:v>Broc</c:v>
                </c:pt>
                <c:pt idx="119">
                  <c:v>Lurtigen</c:v>
                </c:pt>
                <c:pt idx="120">
                  <c:v>Cottens</c:v>
                </c:pt>
                <c:pt idx="121">
                  <c:v>Bossonnens</c:v>
                </c:pt>
                <c:pt idx="122">
                  <c:v>Sévaz</c:v>
                </c:pt>
                <c:pt idx="123">
                  <c:v>Grolley</c:v>
                </c:pt>
                <c:pt idx="124">
                  <c:v>Estavayer-le-Lac</c:v>
                </c:pt>
                <c:pt idx="125">
                  <c:v>Autafond</c:v>
                </c:pt>
                <c:pt idx="126">
                  <c:v>Romont</c:v>
                </c:pt>
                <c:pt idx="127">
                  <c:v>Murist</c:v>
                </c:pt>
                <c:pt idx="128">
                  <c:v>Ursy</c:v>
                </c:pt>
                <c:pt idx="129">
                  <c:v>Chénens</c:v>
                </c:pt>
                <c:pt idx="130">
                  <c:v>Matran</c:v>
                </c:pt>
                <c:pt idx="131">
                  <c:v>Surpierre</c:v>
                </c:pt>
                <c:pt idx="132">
                  <c:v>Ecublens</c:v>
                </c:pt>
                <c:pt idx="133">
                  <c:v>Ménières</c:v>
                </c:pt>
                <c:pt idx="134">
                  <c:v>Ulmiz</c:v>
                </c:pt>
                <c:pt idx="135">
                  <c:v>Villorsonnens</c:v>
                </c:pt>
                <c:pt idx="136">
                  <c:v>Fétigny</c:v>
                </c:pt>
                <c:pt idx="137">
                  <c:v>La Verrerie</c:v>
                </c:pt>
                <c:pt idx="138">
                  <c:v>Vuisternens-en-Ogoz</c:v>
                </c:pt>
                <c:pt idx="139">
                  <c:v>Le Pâquier</c:v>
                </c:pt>
                <c:pt idx="140">
                  <c:v>Sâles</c:v>
                </c:pt>
                <c:pt idx="141">
                  <c:v>Farvagny</c:v>
                </c:pt>
                <c:pt idx="142">
                  <c:v>Jeuss</c:v>
                </c:pt>
                <c:pt idx="143">
                  <c:v>Saint-Martin</c:v>
                </c:pt>
                <c:pt idx="144">
                  <c:v>Cheiry</c:v>
                </c:pt>
                <c:pt idx="145">
                  <c:v>Vuadens</c:v>
                </c:pt>
                <c:pt idx="146">
                  <c:v>Treyvaux</c:v>
                </c:pt>
                <c:pt idx="147">
                  <c:v>Vernay</c:v>
                </c:pt>
                <c:pt idx="148">
                  <c:v>Vuisternens-devant-Romont</c:v>
                </c:pt>
                <c:pt idx="149">
                  <c:v>Le Châtelard</c:v>
                </c:pt>
                <c:pt idx="150">
                  <c:v>Nuvilly</c:v>
                </c:pt>
                <c:pt idx="151">
                  <c:v>Villarsel-sur-Marly</c:v>
                </c:pt>
                <c:pt idx="152">
                  <c:v>Courtepin</c:v>
                </c:pt>
                <c:pt idx="153">
                  <c:v>Marsens</c:v>
                </c:pt>
                <c:pt idx="154">
                  <c:v>Le Flon</c:v>
                </c:pt>
                <c:pt idx="155">
                  <c:v>Massonnens</c:v>
                </c:pt>
                <c:pt idx="156">
                  <c:v>Mézières</c:v>
                </c:pt>
                <c:pt idx="157">
                  <c:v>Châtonnaye</c:v>
                </c:pt>
                <c:pt idx="158">
                  <c:v>Jaun</c:v>
                </c:pt>
                <c:pt idx="159">
                  <c:v>Oberschrot</c:v>
                </c:pt>
                <c:pt idx="160">
                  <c:v>Prévondavaux</c:v>
                </c:pt>
                <c:pt idx="161">
                  <c:v>Zumholz</c:v>
                </c:pt>
                <c:pt idx="162">
                  <c:v>Billens-Hennens</c:v>
                </c:pt>
              </c:strCache>
            </c:strRef>
          </c:cat>
          <c:val>
            <c:numRef>
              <c:f>'B11 graphiques  (PF)'!$F$8:$F$170</c:f>
              <c:numCache>
                <c:formatCode>0.00</c:formatCode>
                <c:ptCount val="163"/>
                <c:pt idx="0">
                  <c:v>0.11243662705011065</c:v>
                </c:pt>
                <c:pt idx="1">
                  <c:v>0.19690802051666539</c:v>
                </c:pt>
                <c:pt idx="2">
                  <c:v>0.31051982010546364</c:v>
                </c:pt>
                <c:pt idx="3">
                  <c:v>0.40518366526458333</c:v>
                </c:pt>
                <c:pt idx="4">
                  <c:v>0.48903173524451837</c:v>
                </c:pt>
                <c:pt idx="5">
                  <c:v>0.50764810572501218</c:v>
                </c:pt>
                <c:pt idx="6">
                  <c:v>0.53615079028084067</c:v>
                </c:pt>
                <c:pt idx="7">
                  <c:v>0.59056265872427971</c:v>
                </c:pt>
                <c:pt idx="8">
                  <c:v>0.59130899361770584</c:v>
                </c:pt>
                <c:pt idx="9">
                  <c:v>0.59407080347995544</c:v>
                </c:pt>
                <c:pt idx="10">
                  <c:v>0.61089454026077206</c:v>
                </c:pt>
                <c:pt idx="11">
                  <c:v>0.61220799895419864</c:v>
                </c:pt>
                <c:pt idx="12">
                  <c:v>0.61293628495037644</c:v>
                </c:pt>
                <c:pt idx="13">
                  <c:v>0.62888071330846451</c:v>
                </c:pt>
                <c:pt idx="14">
                  <c:v>0.73728775694244186</c:v>
                </c:pt>
                <c:pt idx="15">
                  <c:v>0.76212110038972969</c:v>
                </c:pt>
                <c:pt idx="16">
                  <c:v>0.78864821230610582</c:v>
                </c:pt>
                <c:pt idx="17">
                  <c:v>0.78958795538835869</c:v>
                </c:pt>
                <c:pt idx="18">
                  <c:v>0.80223969727785738</c:v>
                </c:pt>
                <c:pt idx="19">
                  <c:v>0.81894033060772387</c:v>
                </c:pt>
                <c:pt idx="20">
                  <c:v>0.82003279716315736</c:v>
                </c:pt>
                <c:pt idx="21">
                  <c:v>0.82545624992320565</c:v>
                </c:pt>
                <c:pt idx="22">
                  <c:v>0.82582456861119402</c:v>
                </c:pt>
                <c:pt idx="23">
                  <c:v>0.84317688394977863</c:v>
                </c:pt>
                <c:pt idx="24">
                  <c:v>0.84882807708802011</c:v>
                </c:pt>
                <c:pt idx="25">
                  <c:v>0.86166407315675997</c:v>
                </c:pt>
                <c:pt idx="26">
                  <c:v>0.86239653434073826</c:v>
                </c:pt>
                <c:pt idx="27">
                  <c:v>0.87586844907944816</c:v>
                </c:pt>
                <c:pt idx="28">
                  <c:v>0.89691628152642622</c:v>
                </c:pt>
                <c:pt idx="29">
                  <c:v>0.90854531949587281</c:v>
                </c:pt>
                <c:pt idx="30">
                  <c:v>0.91206818908294429</c:v>
                </c:pt>
                <c:pt idx="31">
                  <c:v>0.92246353293316219</c:v>
                </c:pt>
                <c:pt idx="32">
                  <c:v>0.93231764454829791</c:v>
                </c:pt>
                <c:pt idx="33">
                  <c:v>0.93312681017164445</c:v>
                </c:pt>
                <c:pt idx="34">
                  <c:v>0.94038799485190405</c:v>
                </c:pt>
                <c:pt idx="35">
                  <c:v>0.94511796407684456</c:v>
                </c:pt>
                <c:pt idx="36">
                  <c:v>0.94706348186038247</c:v>
                </c:pt>
                <c:pt idx="37">
                  <c:v>0.95239985514004299</c:v>
                </c:pt>
                <c:pt idx="38">
                  <c:v>0.95690454288678439</c:v>
                </c:pt>
                <c:pt idx="39">
                  <c:v>0.96167500511684945</c:v>
                </c:pt>
                <c:pt idx="40">
                  <c:v>0.96461755878626687</c:v>
                </c:pt>
                <c:pt idx="41">
                  <c:v>0.96695597259743793</c:v>
                </c:pt>
                <c:pt idx="42">
                  <c:v>0.9699830381425234</c:v>
                </c:pt>
                <c:pt idx="43">
                  <c:v>0.97700859517382987</c:v>
                </c:pt>
                <c:pt idx="44">
                  <c:v>0.99548822271710258</c:v>
                </c:pt>
                <c:pt idx="45">
                  <c:v>1.0166973889144808</c:v>
                </c:pt>
                <c:pt idx="46">
                  <c:v>1.0272684275446262</c:v>
                </c:pt>
                <c:pt idx="47">
                  <c:v>1.0294949579850321</c:v>
                </c:pt>
                <c:pt idx="48">
                  <c:v>1.0359476134013754</c:v>
                </c:pt>
                <c:pt idx="49">
                  <c:v>1.0380023843654926</c:v>
                </c:pt>
                <c:pt idx="50">
                  <c:v>1.0475084397787124</c:v>
                </c:pt>
                <c:pt idx="51">
                  <c:v>1.0541838071657856</c:v>
                </c:pt>
                <c:pt idx="52">
                  <c:v>1.0640634336249968</c:v>
                </c:pt>
                <c:pt idx="53">
                  <c:v>1.0695100110041733</c:v>
                </c:pt>
                <c:pt idx="54">
                  <c:v>1.0826843256936147</c:v>
                </c:pt>
                <c:pt idx="55">
                  <c:v>1.0867532378844398</c:v>
                </c:pt>
                <c:pt idx="56">
                  <c:v>1.0873731342741033</c:v>
                </c:pt>
                <c:pt idx="57">
                  <c:v>1.0965743309981735</c:v>
                </c:pt>
                <c:pt idx="58">
                  <c:v>1.1130028198130533</c:v>
                </c:pt>
                <c:pt idx="59">
                  <c:v>1.1212348726190511</c:v>
                </c:pt>
                <c:pt idx="60">
                  <c:v>1.1231996697648654</c:v>
                </c:pt>
                <c:pt idx="61">
                  <c:v>1.1324745560764455</c:v>
                </c:pt>
                <c:pt idx="62">
                  <c:v>1.1394308143969551</c:v>
                </c:pt>
                <c:pt idx="63">
                  <c:v>1.1420387788568855</c:v>
                </c:pt>
                <c:pt idx="64">
                  <c:v>1.1574139163028301</c:v>
                </c:pt>
                <c:pt idx="65">
                  <c:v>1.160175199401877</c:v>
                </c:pt>
                <c:pt idx="66">
                  <c:v>1.1683104583141368</c:v>
                </c:pt>
                <c:pt idx="67">
                  <c:v>1.1714002485812802</c:v>
                </c:pt>
                <c:pt idx="68">
                  <c:v>1.1716963017040789</c:v>
                </c:pt>
                <c:pt idx="69">
                  <c:v>1.174008462379414</c:v>
                </c:pt>
                <c:pt idx="70">
                  <c:v>1.1742301148885872</c:v>
                </c:pt>
                <c:pt idx="71">
                  <c:v>1.1809144666162952</c:v>
                </c:pt>
                <c:pt idx="72">
                  <c:v>1.1935122026439844</c:v>
                </c:pt>
                <c:pt idx="73">
                  <c:v>1.201752824658076</c:v>
                </c:pt>
                <c:pt idx="74">
                  <c:v>1.2043023464388731</c:v>
                </c:pt>
                <c:pt idx="75">
                  <c:v>1.2048074135436806</c:v>
                </c:pt>
                <c:pt idx="76">
                  <c:v>1.2088539833290148</c:v>
                </c:pt>
                <c:pt idx="77">
                  <c:v>1.2239663367941067</c:v>
                </c:pt>
                <c:pt idx="78">
                  <c:v>1.2264914622081124</c:v>
                </c:pt>
                <c:pt idx="79">
                  <c:v>1.2307299892507215</c:v>
                </c:pt>
                <c:pt idx="80">
                  <c:v>1.2347433141484632</c:v>
                </c:pt>
                <c:pt idx="81">
                  <c:v>1.2381198295175024</c:v>
                </c:pt>
                <c:pt idx="82">
                  <c:v>1.2384089778844158</c:v>
                </c:pt>
                <c:pt idx="83">
                  <c:v>1.2466557052338363</c:v>
                </c:pt>
                <c:pt idx="84">
                  <c:v>1.2507833864542031</c:v>
                </c:pt>
                <c:pt idx="85">
                  <c:v>1.2533599031892337</c:v>
                </c:pt>
                <c:pt idx="86">
                  <c:v>1.2561675561466208</c:v>
                </c:pt>
                <c:pt idx="87">
                  <c:v>1.2573952440259448</c:v>
                </c:pt>
                <c:pt idx="88">
                  <c:v>1.2647728144001231</c:v>
                </c:pt>
                <c:pt idx="89">
                  <c:v>1.2694432850044786</c:v>
                </c:pt>
                <c:pt idx="90">
                  <c:v>1.2903967297049914</c:v>
                </c:pt>
                <c:pt idx="91">
                  <c:v>1.3058941334009142</c:v>
                </c:pt>
                <c:pt idx="92">
                  <c:v>1.3135132404259497</c:v>
                </c:pt>
                <c:pt idx="93">
                  <c:v>1.3351559832694624</c:v>
                </c:pt>
                <c:pt idx="94">
                  <c:v>1.3377933713252599</c:v>
                </c:pt>
                <c:pt idx="95">
                  <c:v>1.3381444434921002</c:v>
                </c:pt>
                <c:pt idx="96">
                  <c:v>1.3509088124797854</c:v>
                </c:pt>
                <c:pt idx="97">
                  <c:v>1.3524907231942929</c:v>
                </c:pt>
                <c:pt idx="98">
                  <c:v>1.3526365164584033</c:v>
                </c:pt>
                <c:pt idx="99">
                  <c:v>1.3629687774200743</c:v>
                </c:pt>
                <c:pt idx="100">
                  <c:v>1.3692812950834858</c:v>
                </c:pt>
                <c:pt idx="101">
                  <c:v>1.3845267626401572</c:v>
                </c:pt>
                <c:pt idx="102">
                  <c:v>1.3898492095455648</c:v>
                </c:pt>
                <c:pt idx="103">
                  <c:v>1.3901658723937387</c:v>
                </c:pt>
                <c:pt idx="104">
                  <c:v>1.390899829699888</c:v>
                </c:pt>
                <c:pt idx="105">
                  <c:v>1.39356329451584</c:v>
                </c:pt>
                <c:pt idx="106">
                  <c:v>1.3958168559444553</c:v>
                </c:pt>
                <c:pt idx="107">
                  <c:v>1.395987859394954</c:v>
                </c:pt>
                <c:pt idx="108">
                  <c:v>1.416940404906927</c:v>
                </c:pt>
                <c:pt idx="109">
                  <c:v>1.4283354117745051</c:v>
                </c:pt>
                <c:pt idx="110">
                  <c:v>1.4408643824615801</c:v>
                </c:pt>
                <c:pt idx="111">
                  <c:v>1.4444761306682694</c:v>
                </c:pt>
                <c:pt idx="112">
                  <c:v>1.4450170958265758</c:v>
                </c:pt>
                <c:pt idx="113">
                  <c:v>1.4469999118572254</c:v>
                </c:pt>
                <c:pt idx="114">
                  <c:v>1.4529998931061834</c:v>
                </c:pt>
                <c:pt idx="115">
                  <c:v>1.4608255626594664</c:v>
                </c:pt>
                <c:pt idx="116">
                  <c:v>1.4746799061383327</c:v>
                </c:pt>
                <c:pt idx="117">
                  <c:v>1.4763345734417301</c:v>
                </c:pt>
                <c:pt idx="118">
                  <c:v>1.489515072732674</c:v>
                </c:pt>
                <c:pt idx="119">
                  <c:v>1.4982963113122854</c:v>
                </c:pt>
                <c:pt idx="120">
                  <c:v>1.5140380606489421</c:v>
                </c:pt>
                <c:pt idx="121">
                  <c:v>1.5264577204469967</c:v>
                </c:pt>
                <c:pt idx="122">
                  <c:v>1.540665218680511</c:v>
                </c:pt>
                <c:pt idx="123">
                  <c:v>1.5487698553792462</c:v>
                </c:pt>
                <c:pt idx="124">
                  <c:v>1.5588785924487591</c:v>
                </c:pt>
                <c:pt idx="125">
                  <c:v>1.5627271132894625</c:v>
                </c:pt>
                <c:pt idx="126">
                  <c:v>1.6086322436692995</c:v>
                </c:pt>
                <c:pt idx="127">
                  <c:v>1.617184951109587</c:v>
                </c:pt>
                <c:pt idx="128">
                  <c:v>1.6367151852634163</c:v>
                </c:pt>
                <c:pt idx="129">
                  <c:v>1.6547098241012719</c:v>
                </c:pt>
                <c:pt idx="130">
                  <c:v>1.6618955768210333</c:v>
                </c:pt>
                <c:pt idx="131">
                  <c:v>1.6664683560168676</c:v>
                </c:pt>
                <c:pt idx="132">
                  <c:v>1.6684405752891243</c:v>
                </c:pt>
                <c:pt idx="133">
                  <c:v>1.6706502057764887</c:v>
                </c:pt>
                <c:pt idx="134">
                  <c:v>1.6708008124781333</c:v>
                </c:pt>
                <c:pt idx="135">
                  <c:v>1.6827631727327961</c:v>
                </c:pt>
                <c:pt idx="136">
                  <c:v>1.6866175082687329</c:v>
                </c:pt>
                <c:pt idx="137">
                  <c:v>1.697111323900236</c:v>
                </c:pt>
                <c:pt idx="138">
                  <c:v>1.7086152609744429</c:v>
                </c:pt>
                <c:pt idx="139">
                  <c:v>1.769066028065656</c:v>
                </c:pt>
                <c:pt idx="140">
                  <c:v>1.7715696141138502</c:v>
                </c:pt>
                <c:pt idx="141">
                  <c:v>1.8199389842048257</c:v>
                </c:pt>
                <c:pt idx="142">
                  <c:v>1.8427628572868304</c:v>
                </c:pt>
                <c:pt idx="143">
                  <c:v>1.8679932731552975</c:v>
                </c:pt>
                <c:pt idx="144">
                  <c:v>1.8787590338441262</c:v>
                </c:pt>
                <c:pt idx="145">
                  <c:v>1.8820560804979429</c:v>
                </c:pt>
                <c:pt idx="146">
                  <c:v>1.8895968904081242</c:v>
                </c:pt>
                <c:pt idx="147">
                  <c:v>1.9081505427604384</c:v>
                </c:pt>
                <c:pt idx="148">
                  <c:v>1.9101705871639427</c:v>
                </c:pt>
                <c:pt idx="149">
                  <c:v>1.9323517644588055</c:v>
                </c:pt>
                <c:pt idx="150">
                  <c:v>1.9540252688886721</c:v>
                </c:pt>
                <c:pt idx="151">
                  <c:v>1.9790587914049773</c:v>
                </c:pt>
                <c:pt idx="152">
                  <c:v>2.0062228798468351</c:v>
                </c:pt>
                <c:pt idx="153">
                  <c:v>2.0070542971992751</c:v>
                </c:pt>
                <c:pt idx="154">
                  <c:v>2.0096682954820055</c:v>
                </c:pt>
                <c:pt idx="155">
                  <c:v>2.0243611024521324</c:v>
                </c:pt>
                <c:pt idx="156">
                  <c:v>2.1129533219893082</c:v>
                </c:pt>
                <c:pt idx="157">
                  <c:v>2.1489781554006044</c:v>
                </c:pt>
                <c:pt idx="158">
                  <c:v>2.1619741626070716</c:v>
                </c:pt>
                <c:pt idx="159">
                  <c:v>2.302191545925945</c:v>
                </c:pt>
                <c:pt idx="160">
                  <c:v>2.4181027179129702</c:v>
                </c:pt>
                <c:pt idx="161">
                  <c:v>3.0561598163220003</c:v>
                </c:pt>
                <c:pt idx="162">
                  <c:v>3.2253896426864435</c:v>
                </c:pt>
              </c:numCache>
            </c:numRef>
          </c:val>
          <c:smooth val="0"/>
        </c:ser>
        <c:dLbls>
          <c:showLegendKey val="0"/>
          <c:showVal val="0"/>
          <c:showCatName val="0"/>
          <c:showSerName val="0"/>
          <c:showPercent val="0"/>
          <c:showBubbleSize val="0"/>
        </c:dLbls>
        <c:marker val="1"/>
        <c:smooth val="0"/>
        <c:axId val="42734336"/>
        <c:axId val="42736256"/>
      </c:lineChart>
      <c:catAx>
        <c:axId val="42734336"/>
        <c:scaling>
          <c:orientation val="minMax"/>
        </c:scaling>
        <c:delete val="0"/>
        <c:axPos val="b"/>
        <c:majorTickMark val="out"/>
        <c:minorTickMark val="none"/>
        <c:tickLblPos val="nextTo"/>
        <c:txPr>
          <a:bodyPr/>
          <a:lstStyle/>
          <a:p>
            <a:pPr>
              <a:defRPr sz="1100" b="1"/>
            </a:pPr>
            <a:endParaRPr lang="fr-FR"/>
          </a:p>
        </c:txPr>
        <c:crossAx val="42736256"/>
        <c:crosses val="autoZero"/>
        <c:auto val="1"/>
        <c:lblAlgn val="ctr"/>
        <c:lblOffset val="100"/>
        <c:noMultiLvlLbl val="0"/>
      </c:catAx>
      <c:valAx>
        <c:axId val="42736256"/>
        <c:scaling>
          <c:orientation val="minMax"/>
          <c:max val="5"/>
        </c:scaling>
        <c:delete val="0"/>
        <c:axPos val="l"/>
        <c:majorGridlines/>
        <c:numFmt formatCode="0.00" sourceLinked="1"/>
        <c:majorTickMark val="out"/>
        <c:minorTickMark val="none"/>
        <c:tickLblPos val="nextTo"/>
        <c:txPr>
          <a:bodyPr/>
          <a:lstStyle/>
          <a:p>
            <a:pPr>
              <a:defRPr sz="1100" b="1"/>
            </a:pPr>
            <a:endParaRPr lang="fr-FR"/>
          </a:p>
        </c:txPr>
        <c:crossAx val="42734336"/>
        <c:crosses val="autoZero"/>
        <c:crossBetween val="between"/>
        <c:majorUnit val="1"/>
        <c:minorUnit val="1"/>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CH"/>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a:pPr>
            <a:r>
              <a:rPr lang="en-US" sz="1050"/>
              <a:t>Graphique 2-4         Nombre de commune </a:t>
            </a:r>
            <a:r>
              <a:rPr lang="en-US" sz="1050" b="0"/>
              <a:t>(vertical), </a:t>
            </a:r>
          </a:p>
          <a:p>
            <a:pPr>
              <a:defRPr sz="1050"/>
            </a:pPr>
            <a:r>
              <a:rPr lang="en-US" sz="1050"/>
              <a:t>en point de PF </a:t>
            </a:r>
            <a:r>
              <a:rPr lang="en-US" sz="1050" b="0"/>
              <a:t>(horizontal)</a:t>
            </a:r>
          </a:p>
        </c:rich>
      </c:tx>
      <c:layout/>
      <c:overlay val="0"/>
    </c:title>
    <c:autoTitleDeleted val="0"/>
    <c:plotArea>
      <c:layout>
        <c:manualLayout>
          <c:layoutTarget val="inner"/>
          <c:xMode val="edge"/>
          <c:yMode val="edge"/>
          <c:x val="0.1029438039654326"/>
          <c:y val="0.21177092446777487"/>
          <c:w val="0.87127091708473148"/>
          <c:h val="0.61574438611840188"/>
        </c:manualLayout>
      </c:layout>
      <c:barChart>
        <c:barDir val="col"/>
        <c:grouping val="clustered"/>
        <c:varyColors val="0"/>
        <c:ser>
          <c:idx val="0"/>
          <c:order val="0"/>
          <c:tx>
            <c:strRef>
              <c:f>'B11 graphiques  (PF)'!$H$7</c:f>
              <c:strCache>
                <c:ptCount val="1"/>
                <c:pt idx="0">
                  <c:v>en point de PF</c:v>
                </c:pt>
              </c:strCache>
            </c:strRef>
          </c:tx>
          <c:invertIfNegative val="0"/>
          <c:dLbls>
            <c:txPr>
              <a:bodyPr/>
              <a:lstStyle/>
              <a:p>
                <a:pPr>
                  <a:defRPr b="1">
                    <a:solidFill>
                      <a:srgbClr val="0070C0"/>
                    </a:solidFill>
                  </a:defRPr>
                </a:pPr>
                <a:endParaRPr lang="fr-FR"/>
              </a:p>
            </c:txPr>
            <c:showLegendKey val="0"/>
            <c:showVal val="1"/>
            <c:showCatName val="0"/>
            <c:showSerName val="0"/>
            <c:showPercent val="0"/>
            <c:showBubbleSize val="0"/>
            <c:showLeaderLines val="0"/>
          </c:dLbls>
          <c:cat>
            <c:strRef>
              <c:f>'B11 graphiques  (PF)'!$H$8:$H$18</c:f>
              <c:strCache>
                <c:ptCount val="11"/>
                <c:pt idx="0">
                  <c:v>&lt; 0.19</c:v>
                </c:pt>
                <c:pt idx="1">
                  <c:v>0.20 - 0.49</c:v>
                </c:pt>
                <c:pt idx="2">
                  <c:v>0.50 - 0.74</c:v>
                </c:pt>
                <c:pt idx="3">
                  <c:v>0.75 - 0.99</c:v>
                </c:pt>
                <c:pt idx="4">
                  <c:v>1.00 - 1.24</c:v>
                </c:pt>
                <c:pt idx="5">
                  <c:v>1.25 - 1.49</c:v>
                </c:pt>
                <c:pt idx="6">
                  <c:v>1.50 - 1.74</c:v>
                </c:pt>
                <c:pt idx="7">
                  <c:v>1.75 - 1.99</c:v>
                </c:pt>
                <c:pt idx="8">
                  <c:v>2.00 - 2.24</c:v>
                </c:pt>
                <c:pt idx="9">
                  <c:v>2.25 - 2.49</c:v>
                </c:pt>
                <c:pt idx="10">
                  <c:v>&gt; 2.50 </c:v>
                </c:pt>
              </c:strCache>
            </c:strRef>
          </c:cat>
          <c:val>
            <c:numRef>
              <c:f>'B11 graphiques  (PF)'!$I$8:$I$18</c:f>
              <c:numCache>
                <c:formatCode>General</c:formatCode>
                <c:ptCount val="11"/>
                <c:pt idx="0">
                  <c:v>1</c:v>
                </c:pt>
                <c:pt idx="1">
                  <c:v>4</c:v>
                </c:pt>
                <c:pt idx="2">
                  <c:v>10</c:v>
                </c:pt>
                <c:pt idx="3">
                  <c:v>29</c:v>
                </c:pt>
                <c:pt idx="4">
                  <c:v>39</c:v>
                </c:pt>
                <c:pt idx="5">
                  <c:v>36</c:v>
                </c:pt>
                <c:pt idx="6">
                  <c:v>20</c:v>
                </c:pt>
                <c:pt idx="7">
                  <c:v>13</c:v>
                </c:pt>
                <c:pt idx="8">
                  <c:v>7</c:v>
                </c:pt>
                <c:pt idx="9">
                  <c:v>2</c:v>
                </c:pt>
                <c:pt idx="10">
                  <c:v>2</c:v>
                </c:pt>
              </c:numCache>
            </c:numRef>
          </c:val>
        </c:ser>
        <c:dLbls>
          <c:showLegendKey val="0"/>
          <c:showVal val="0"/>
          <c:showCatName val="0"/>
          <c:showSerName val="0"/>
          <c:showPercent val="0"/>
          <c:showBubbleSize val="0"/>
        </c:dLbls>
        <c:gapWidth val="150"/>
        <c:axId val="42776064"/>
        <c:axId val="42777600"/>
      </c:barChart>
      <c:catAx>
        <c:axId val="42776064"/>
        <c:scaling>
          <c:orientation val="minMax"/>
        </c:scaling>
        <c:delete val="0"/>
        <c:axPos val="b"/>
        <c:majorTickMark val="out"/>
        <c:minorTickMark val="none"/>
        <c:tickLblPos val="nextTo"/>
        <c:crossAx val="42777600"/>
        <c:crosses val="autoZero"/>
        <c:auto val="1"/>
        <c:lblAlgn val="ctr"/>
        <c:lblOffset val="100"/>
        <c:noMultiLvlLbl val="0"/>
      </c:catAx>
      <c:valAx>
        <c:axId val="42777600"/>
        <c:scaling>
          <c:orientation val="minMax"/>
        </c:scaling>
        <c:delete val="0"/>
        <c:axPos val="l"/>
        <c:majorGridlines/>
        <c:numFmt formatCode="General" sourceLinked="1"/>
        <c:majorTickMark val="out"/>
        <c:minorTickMark val="none"/>
        <c:tickLblPos val="nextTo"/>
        <c:crossAx val="42776064"/>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38100</xdr:colOff>
      <xdr:row>171</xdr:row>
      <xdr:rowOff>121920</xdr:rowOff>
    </xdr:from>
    <xdr:to>
      <xdr:col>9</xdr:col>
      <xdr:colOff>701040</xdr:colOff>
      <xdr:row>194</xdr:row>
      <xdr:rowOff>45720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579120</xdr:colOff>
      <xdr:row>217</xdr:row>
      <xdr:rowOff>72390</xdr:rowOff>
    </xdr:from>
    <xdr:to>
      <xdr:col>10</xdr:col>
      <xdr:colOff>53340</xdr:colOff>
      <xdr:row>233</xdr:row>
      <xdr:rowOff>133350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731520</xdr:colOff>
      <xdr:row>2</xdr:row>
      <xdr:rowOff>53340</xdr:rowOff>
    </xdr:from>
    <xdr:to>
      <xdr:col>22</xdr:col>
      <xdr:colOff>502920</xdr:colOff>
      <xdr:row>30</xdr:row>
      <xdr:rowOff>160020</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358139</xdr:colOff>
      <xdr:row>178</xdr:row>
      <xdr:rowOff>87629</xdr:rowOff>
    </xdr:from>
    <xdr:to>
      <xdr:col>16</xdr:col>
      <xdr:colOff>160867</xdr:colOff>
      <xdr:row>214</xdr:row>
      <xdr:rowOff>118533</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567267</xdr:colOff>
      <xdr:row>20</xdr:row>
      <xdr:rowOff>148166</xdr:rowOff>
    </xdr:from>
    <xdr:to>
      <xdr:col>15</xdr:col>
      <xdr:colOff>262466</xdr:colOff>
      <xdr:row>39</xdr:row>
      <xdr:rowOff>50800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228600</xdr:colOff>
      <xdr:row>171</xdr:row>
      <xdr:rowOff>64770</xdr:rowOff>
    </xdr:from>
    <xdr:to>
      <xdr:col>15</xdr:col>
      <xdr:colOff>754380</xdr:colOff>
      <xdr:row>197</xdr:row>
      <xdr:rowOff>53340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30480</xdr:colOff>
      <xdr:row>6</xdr:row>
      <xdr:rowOff>194310</xdr:rowOff>
    </xdr:from>
    <xdr:to>
      <xdr:col>16</xdr:col>
      <xdr:colOff>693420</xdr:colOff>
      <xdr:row>22</xdr:row>
      <xdr:rowOff>87630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allamanG/AppData/Local/Microsoft/Windows/Temporary%20Internet%20Files/Content.Outlook/04O48TPG/Performance%20BES%20totaux%20calcul%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COM/P&#201;R&#201;QUATION/&#201;valuation%20p&#233;r&#233;quation%202014/03%20&#201;valuation%20ressources/Estimation%20BD%20avec%20graphique_29.08.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fflonb/A%20TRAVAUX%20EN%20COURS/4%20Fribourg/01%20p&#233;r&#233;quation/11%20Performance/Ressources/Estimation%20BD%20avec%20graphiqu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des matières"/>
      <sheetName val="B1 tâches de référence"/>
      <sheetName val="B2 données 2011"/>
      <sheetName val="B3 données 2012"/>
      <sheetName val="B 4 données 2013"/>
      <sheetName val="B 5 POND 2015"/>
      <sheetName val="B 6 Performance "/>
      <sheetName val="B7 Effets pér par hab 2011"/>
    </sheetNames>
    <sheetDataSet>
      <sheetData sheetId="0" refreshError="1"/>
      <sheetData sheetId="1" refreshError="1"/>
      <sheetData sheetId="2">
        <row r="181">
          <cell r="C181">
            <v>15930519.080000013</v>
          </cell>
        </row>
        <row r="184">
          <cell r="C184">
            <v>71548725.270000011</v>
          </cell>
        </row>
        <row r="187">
          <cell r="C187">
            <v>41935362.640000008</v>
          </cell>
        </row>
        <row r="190">
          <cell r="C190">
            <v>73051621.75</v>
          </cell>
        </row>
        <row r="193">
          <cell r="C193">
            <v>296797902.14999998</v>
          </cell>
        </row>
      </sheetData>
      <sheetData sheetId="3">
        <row r="179">
          <cell r="C179">
            <v>16842382.780000001</v>
          </cell>
        </row>
        <row r="182">
          <cell r="C182">
            <v>77363735.690000027</v>
          </cell>
        </row>
        <row r="185">
          <cell r="C185">
            <v>43667516.969999954</v>
          </cell>
        </row>
        <row r="188">
          <cell r="C188">
            <v>83227891.739999965</v>
          </cell>
        </row>
        <row r="191">
          <cell r="C191">
            <v>303957258.2299999</v>
          </cell>
        </row>
      </sheetData>
      <sheetData sheetId="4">
        <row r="178">
          <cell r="C178">
            <v>0</v>
          </cell>
        </row>
      </sheetData>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des matières"/>
      <sheetName val="T1  PF2011"/>
      <sheetName val="T2  PF2012"/>
      <sheetName val="T3  PF2013"/>
      <sheetName val="T4  IPF  Répart2011"/>
      <sheetName val="T5  IPF Répart2012"/>
      <sheetName val="T6  IPF Répart2013"/>
      <sheetName val="T7  Performance 2011"/>
      <sheetName val="T8 Performance2012"/>
      <sheetName val="T9 Performance 2013"/>
      <sheetName val="T7  Performance 2011 (2)"/>
    </sheetNames>
    <sheetDataSet>
      <sheetData sheetId="0" refreshError="1"/>
      <sheetData sheetId="1" refreshError="1">
        <row r="6">
          <cell r="O6">
            <v>3602.1729159793163</v>
          </cell>
        </row>
        <row r="8">
          <cell r="P8">
            <v>71.678813381924371</v>
          </cell>
        </row>
        <row r="9">
          <cell r="P9">
            <v>91.60272222697094</v>
          </cell>
        </row>
        <row r="10">
          <cell r="P10">
            <v>98.343678337366626</v>
          </cell>
        </row>
        <row r="11">
          <cell r="P11">
            <v>56.004912350668221</v>
          </cell>
        </row>
        <row r="12">
          <cell r="P12">
            <v>110.18845559647889</v>
          </cell>
        </row>
        <row r="13">
          <cell r="P13">
            <v>82.368846671660378</v>
          </cell>
        </row>
        <row r="14">
          <cell r="P14">
            <v>99.502731898715567</v>
          </cell>
        </row>
        <row r="15">
          <cell r="P15">
            <v>62.286239635249309</v>
          </cell>
        </row>
        <row r="16">
          <cell r="P16">
            <v>99.764436900689745</v>
          </cell>
        </row>
        <row r="17">
          <cell r="P17">
            <v>62.9087332341999</v>
          </cell>
        </row>
        <row r="18">
          <cell r="P18">
            <v>86.579707893790726</v>
          </cell>
        </row>
        <row r="19">
          <cell r="P19">
            <v>89.535348198058614</v>
          </cell>
        </row>
        <row r="20">
          <cell r="P20">
            <v>70.013888630320821</v>
          </cell>
        </row>
        <row r="21">
          <cell r="P21">
            <v>68.38669644033088</v>
          </cell>
        </row>
        <row r="22">
          <cell r="P22">
            <v>65.508224265808906</v>
          </cell>
        </row>
        <row r="23">
          <cell r="P23">
            <v>72.727697130510194</v>
          </cell>
        </row>
        <row r="24">
          <cell r="P24">
            <v>62.593142489785578</v>
          </cell>
        </row>
        <row r="25">
          <cell r="P25">
            <v>63.175613318055255</v>
          </cell>
        </row>
        <row r="26">
          <cell r="P26">
            <v>56.446941035372433</v>
          </cell>
        </row>
        <row r="27">
          <cell r="P27">
            <v>76.893283474305292</v>
          </cell>
        </row>
        <row r="28">
          <cell r="P28">
            <v>72.938082252648556</v>
          </cell>
        </row>
        <row r="29">
          <cell r="P29">
            <v>87.115908099200254</v>
          </cell>
        </row>
        <row r="30">
          <cell r="P30">
            <v>94.777483229095054</v>
          </cell>
        </row>
        <row r="31">
          <cell r="P31">
            <v>64.534760085172891</v>
          </cell>
        </row>
        <row r="32">
          <cell r="P32">
            <v>72.833519418311795</v>
          </cell>
        </row>
        <row r="33">
          <cell r="P33">
            <v>68.735418111756445</v>
          </cell>
        </row>
        <row r="34">
          <cell r="P34">
            <v>75.255082263020284</v>
          </cell>
        </row>
        <row r="35">
          <cell r="P35">
            <v>72.802265744742556</v>
          </cell>
        </row>
        <row r="36">
          <cell r="P36">
            <v>92.414403147769349</v>
          </cell>
        </row>
        <row r="37">
          <cell r="P37">
            <v>64.989243989722638</v>
          </cell>
        </row>
        <row r="38">
          <cell r="P38">
            <v>102.02282016644169</v>
          </cell>
        </row>
        <row r="39">
          <cell r="P39">
            <v>62.183873049129581</v>
          </cell>
        </row>
        <row r="40">
          <cell r="P40">
            <v>99.778178423553697</v>
          </cell>
        </row>
        <row r="41">
          <cell r="P41">
            <v>56.184965266196286</v>
          </cell>
        </row>
        <row r="42">
          <cell r="P42">
            <v>63.916216756913471</v>
          </cell>
        </row>
        <row r="43">
          <cell r="P43">
            <v>71.270389311716073</v>
          </cell>
        </row>
        <row r="44">
          <cell r="P44">
            <v>79.686920368763523</v>
          </cell>
        </row>
        <row r="45">
          <cell r="P45">
            <v>61.257545165198557</v>
          </cell>
        </row>
        <row r="46">
          <cell r="P46">
            <v>61.152066357892352</v>
          </cell>
        </row>
        <row r="47">
          <cell r="P47">
            <v>84.757583925265877</v>
          </cell>
        </row>
        <row r="48">
          <cell r="P48">
            <v>82.81895667428158</v>
          </cell>
        </row>
        <row r="49">
          <cell r="P49">
            <v>72.29186384610253</v>
          </cell>
        </row>
        <row r="50">
          <cell r="P50">
            <v>363.15860892464195</v>
          </cell>
        </row>
        <row r="51">
          <cell r="P51">
            <v>76.482043685824763</v>
          </cell>
        </row>
        <row r="52">
          <cell r="P52">
            <v>100.24985568129232</v>
          </cell>
        </row>
        <row r="53">
          <cell r="P53">
            <v>68.64719630685444</v>
          </cell>
        </row>
        <row r="54">
          <cell r="P54">
            <v>63.962519780791069</v>
          </cell>
        </row>
        <row r="55">
          <cell r="P55">
            <v>73.80332543745287</v>
          </cell>
        </row>
        <row r="56">
          <cell r="P56">
            <v>73.494120793454925</v>
          </cell>
        </row>
        <row r="57">
          <cell r="P57">
            <v>67.003088444456083</v>
          </cell>
        </row>
        <row r="58">
          <cell r="P58">
            <v>86.838977639605687</v>
          </cell>
        </row>
        <row r="59">
          <cell r="P59">
            <v>72.113685459634382</v>
          </cell>
        </row>
        <row r="60">
          <cell r="P60">
            <v>76.149190679324107</v>
          </cell>
        </row>
        <row r="61">
          <cell r="P61">
            <v>105.43913168995769</v>
          </cell>
        </row>
        <row r="62">
          <cell r="P62">
            <v>100.78039694211481</v>
          </cell>
        </row>
        <row r="63">
          <cell r="P63">
            <v>82.257742749328315</v>
          </cell>
        </row>
        <row r="64">
          <cell r="P64">
            <v>217.27095981922204</v>
          </cell>
        </row>
        <row r="65">
          <cell r="P65">
            <v>86.52647440470443</v>
          </cell>
        </row>
        <row r="66">
          <cell r="P66">
            <v>81.699280545738844</v>
          </cell>
        </row>
        <row r="67">
          <cell r="P67">
            <v>88.69859971331006</v>
          </cell>
        </row>
        <row r="68">
          <cell r="P68">
            <v>77.504261635183084</v>
          </cell>
        </row>
        <row r="69">
          <cell r="P69">
            <v>57.252796185537122</v>
          </cell>
        </row>
        <row r="70">
          <cell r="P70">
            <v>87.681567588409976</v>
          </cell>
        </row>
        <row r="71">
          <cell r="P71">
            <v>88.54318419450118</v>
          </cell>
        </row>
        <row r="72">
          <cell r="P72">
            <v>83.354261821440261</v>
          </cell>
        </row>
        <row r="73">
          <cell r="P73">
            <v>82.871758063869251</v>
          </cell>
        </row>
        <row r="74">
          <cell r="P74">
            <v>92.704422246993019</v>
          </cell>
        </row>
        <row r="75">
          <cell r="P75">
            <v>95.696263668103626</v>
          </cell>
        </row>
        <row r="76">
          <cell r="P76">
            <v>81.908529859940856</v>
          </cell>
        </row>
        <row r="77">
          <cell r="P77">
            <v>105.57906966083523</v>
          </cell>
        </row>
        <row r="78">
          <cell r="P78">
            <v>75.935109050949549</v>
          </cell>
        </row>
        <row r="79">
          <cell r="P79">
            <v>76.550242560907364</v>
          </cell>
        </row>
        <row r="80">
          <cell r="P80">
            <v>69.71612761321451</v>
          </cell>
        </row>
        <row r="81">
          <cell r="P81">
            <v>98.250650854379643</v>
          </cell>
        </row>
        <row r="82">
          <cell r="P82">
            <v>88.914758149328861</v>
          </cell>
        </row>
        <row r="83">
          <cell r="P83">
            <v>63.208632313732828</v>
          </cell>
        </row>
        <row r="84">
          <cell r="P84">
            <v>69.373354900309977</v>
          </cell>
        </row>
        <row r="85">
          <cell r="P85">
            <v>136.17849671314519</v>
          </cell>
        </row>
        <row r="86">
          <cell r="P86">
            <v>81.189489927223732</v>
          </cell>
        </row>
        <row r="87">
          <cell r="P87">
            <v>69.317457602769394</v>
          </cell>
        </row>
        <row r="88">
          <cell r="P88">
            <v>145.49499743384223</v>
          </cell>
        </row>
        <row r="89">
          <cell r="P89">
            <v>123.52784337480094</v>
          </cell>
        </row>
        <row r="90">
          <cell r="P90">
            <v>72.813441285819096</v>
          </cell>
        </row>
        <row r="91">
          <cell r="P91">
            <v>71.709536805121317</v>
          </cell>
        </row>
        <row r="92">
          <cell r="P92">
            <v>80.121896398946333</v>
          </cell>
        </row>
        <row r="93">
          <cell r="P93">
            <v>84.917691835462293</v>
          </cell>
        </row>
        <row r="94">
          <cell r="P94">
            <v>79.245198723160598</v>
          </cell>
        </row>
        <row r="95">
          <cell r="P95">
            <v>271.471570057973</v>
          </cell>
        </row>
        <row r="96">
          <cell r="P96">
            <v>111.78743664471975</v>
          </cell>
        </row>
        <row r="97">
          <cell r="P97">
            <v>146.42897095148084</v>
          </cell>
        </row>
        <row r="98">
          <cell r="P98">
            <v>160.64263398471411</v>
          </cell>
        </row>
        <row r="99">
          <cell r="P99">
            <v>83.510641373532863</v>
          </cell>
        </row>
        <row r="100">
          <cell r="P100">
            <v>98.572746387278244</v>
          </cell>
        </row>
        <row r="101">
          <cell r="P101">
            <v>105.70861024772846</v>
          </cell>
        </row>
        <row r="102">
          <cell r="P102">
            <v>94.225725651227108</v>
          </cell>
        </row>
        <row r="103">
          <cell r="P103">
            <v>79.370181180398305</v>
          </cell>
        </row>
        <row r="104">
          <cell r="P104">
            <v>137.62423574822111</v>
          </cell>
        </row>
        <row r="105">
          <cell r="P105">
            <v>65.106783567325365</v>
          </cell>
        </row>
        <row r="106">
          <cell r="P106">
            <v>79.049517911345774</v>
          </cell>
        </row>
        <row r="107">
          <cell r="P107">
            <v>82.71939175887087</v>
          </cell>
        </row>
        <row r="108">
          <cell r="P108">
            <v>113.79261869529805</v>
          </cell>
        </row>
        <row r="109">
          <cell r="P109">
            <v>72.978247947763947</v>
          </cell>
        </row>
        <row r="110">
          <cell r="P110">
            <v>78.0384455596229</v>
          </cell>
        </row>
        <row r="111">
          <cell r="P111">
            <v>69.964609676500928</v>
          </cell>
        </row>
        <row r="112">
          <cell r="P112">
            <v>167.35098243269039</v>
          </cell>
        </row>
        <row r="113">
          <cell r="P113">
            <v>67.368493027946357</v>
          </cell>
        </row>
        <row r="114">
          <cell r="P114">
            <v>74.328811533010324</v>
          </cell>
        </row>
        <row r="115">
          <cell r="P115">
            <v>85.681272525831076</v>
          </cell>
        </row>
        <row r="116">
          <cell r="P116">
            <v>83.591343391035878</v>
          </cell>
        </row>
        <row r="117">
          <cell r="P117">
            <v>84.924119493453517</v>
          </cell>
        </row>
        <row r="118">
          <cell r="P118">
            <v>87.294590698336549</v>
          </cell>
        </row>
        <row r="119">
          <cell r="P119">
            <v>102.0552021674626</v>
          </cell>
        </row>
        <row r="120">
          <cell r="P120">
            <v>85.504478429433405</v>
          </cell>
        </row>
        <row r="121">
          <cell r="P121">
            <v>75.815786970919802</v>
          </cell>
        </row>
        <row r="122">
          <cell r="P122">
            <v>275.45881999329185</v>
          </cell>
        </row>
        <row r="123">
          <cell r="P123">
            <v>98.886810088019246</v>
          </cell>
        </row>
        <row r="124">
          <cell r="P124">
            <v>83.640284523153653</v>
          </cell>
        </row>
        <row r="125">
          <cell r="P125">
            <v>79.61715727581516</v>
          </cell>
        </row>
        <row r="126">
          <cell r="P126">
            <v>406.51348784723984</v>
          </cell>
        </row>
        <row r="127">
          <cell r="P127">
            <v>82.989577253795616</v>
          </cell>
        </row>
        <row r="128">
          <cell r="P128">
            <v>79.986080872012366</v>
          </cell>
        </row>
        <row r="129">
          <cell r="P129">
            <v>92.120133423552787</v>
          </cell>
        </row>
        <row r="130">
          <cell r="P130">
            <v>107.89129917149853</v>
          </cell>
        </row>
        <row r="131">
          <cell r="P131">
            <v>71.156373405632706</v>
          </cell>
        </row>
        <row r="132">
          <cell r="P132">
            <v>144.74287318574392</v>
          </cell>
        </row>
        <row r="133">
          <cell r="P133">
            <v>70.23866055491527</v>
          </cell>
        </row>
        <row r="134">
          <cell r="P134">
            <v>160.88540402414878</v>
          </cell>
        </row>
        <row r="135">
          <cell r="P135">
            <v>113.17319589789001</v>
          </cell>
        </row>
        <row r="136">
          <cell r="P136">
            <v>105.53417857826086</v>
          </cell>
        </row>
        <row r="137">
          <cell r="P137">
            <v>91.50922419879916</v>
          </cell>
        </row>
        <row r="138">
          <cell r="P138">
            <v>79.997840519297327</v>
          </cell>
        </row>
        <row r="139">
          <cell r="P139">
            <v>79.757617880857168</v>
          </cell>
        </row>
        <row r="140">
          <cell r="P140">
            <v>101.16197037004365</v>
          </cell>
        </row>
        <row r="141">
          <cell r="P141">
            <v>156.77037816364074</v>
          </cell>
        </row>
        <row r="142">
          <cell r="P142">
            <v>79.5031564865089</v>
          </cell>
        </row>
        <row r="143">
          <cell r="P143">
            <v>78.39722775407671</v>
          </cell>
        </row>
        <row r="144">
          <cell r="P144">
            <v>69.141364771236653</v>
          </cell>
        </row>
        <row r="145">
          <cell r="P145">
            <v>106.81248399526142</v>
          </cell>
        </row>
        <row r="146">
          <cell r="P146">
            <v>74.598296115087066</v>
          </cell>
        </row>
        <row r="147">
          <cell r="P147">
            <v>91.751532784694362</v>
          </cell>
        </row>
        <row r="148">
          <cell r="P148">
            <v>69.624296420651859</v>
          </cell>
        </row>
        <row r="149">
          <cell r="P149">
            <v>62.963199179962956</v>
          </cell>
        </row>
        <row r="150">
          <cell r="P150">
            <v>81.482481044289528</v>
          </cell>
        </row>
        <row r="151">
          <cell r="P151">
            <v>68.385856433736876</v>
          </cell>
        </row>
        <row r="152">
          <cell r="P152">
            <v>78.644854651261483</v>
          </cell>
        </row>
        <row r="153">
          <cell r="P153">
            <v>78.29393617132115</v>
          </cell>
        </row>
        <row r="154">
          <cell r="P154">
            <v>60.359219279920474</v>
          </cell>
        </row>
        <row r="155">
          <cell r="P155">
            <v>75.459425590814845</v>
          </cell>
        </row>
        <row r="156">
          <cell r="P156">
            <v>104.67538812964588</v>
          </cell>
        </row>
        <row r="157">
          <cell r="P157">
            <v>96.634681596959496</v>
          </cell>
        </row>
        <row r="158">
          <cell r="P158">
            <v>90.425205725266622</v>
          </cell>
        </row>
        <row r="159">
          <cell r="P159">
            <v>86.606483630207762</v>
          </cell>
        </row>
        <row r="160">
          <cell r="P160">
            <v>88.249030088503005</v>
          </cell>
        </row>
        <row r="161">
          <cell r="P161">
            <v>59.704393033156244</v>
          </cell>
        </row>
        <row r="162">
          <cell r="P162">
            <v>92.06213959650853</v>
          </cell>
        </row>
        <row r="163">
          <cell r="P163">
            <v>79.769912574528874</v>
          </cell>
        </row>
        <row r="164">
          <cell r="P164">
            <v>107.87472372206719</v>
          </cell>
        </row>
        <row r="165">
          <cell r="P165">
            <v>91.875896469130211</v>
          </cell>
        </row>
        <row r="166">
          <cell r="P166">
            <v>81.60639553209559</v>
          </cell>
        </row>
        <row r="167">
          <cell r="P167">
            <v>69.641711056061226</v>
          </cell>
        </row>
        <row r="168">
          <cell r="P168">
            <v>76.620226745312735</v>
          </cell>
        </row>
        <row r="169">
          <cell r="P169">
            <v>59.176235491463693</v>
          </cell>
        </row>
        <row r="170">
          <cell r="P170">
            <v>63.143767677387665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des matières"/>
      <sheetName val="T1  PF2011"/>
      <sheetName val="T2 PF2012"/>
      <sheetName val="T3  PF2013"/>
      <sheetName val="T4  IPF  Répart2011"/>
      <sheetName val="T5  IPF Répart2012"/>
      <sheetName val="T6  IPF Répart2013"/>
      <sheetName val="T7  Performance 2011"/>
      <sheetName val="T8 Performance2012"/>
      <sheetName val="T9 Performance 2013"/>
      <sheetName val="T10 corrections fusions"/>
      <sheetName val="T11 Evaluation Performance"/>
      <sheetName val="T12 Evaluation Performance (2)"/>
    </sheetNames>
    <sheetDataSet>
      <sheetData sheetId="0"/>
      <sheetData sheetId="1">
        <row r="6">
          <cell r="O6">
            <v>3602.1729159793163</v>
          </cell>
        </row>
      </sheetData>
      <sheetData sheetId="2">
        <row r="8">
          <cell r="P8">
            <v>73.242392265863813</v>
          </cell>
        </row>
        <row r="9">
          <cell r="P9">
            <v>93.941802667705431</v>
          </cell>
        </row>
        <row r="10">
          <cell r="P10">
            <v>96.86899520664825</v>
          </cell>
        </row>
        <row r="11">
          <cell r="P11">
            <v>56.344520230307658</v>
          </cell>
        </row>
        <row r="12">
          <cell r="P12">
            <v>112.61778272082094</v>
          </cell>
        </row>
        <row r="13">
          <cell r="P13">
            <v>80.096668988319834</v>
          </cell>
        </row>
        <row r="14">
          <cell r="P14">
            <v>102.97290940438964</v>
          </cell>
        </row>
        <row r="15">
          <cell r="P15">
            <v>65.542932110584275</v>
          </cell>
        </row>
        <row r="16">
          <cell r="P16">
            <v>98.859793807831252</v>
          </cell>
        </row>
        <row r="17">
          <cell r="P17">
            <v>68.040497728037181</v>
          </cell>
        </row>
        <row r="18">
          <cell r="P18">
            <v>82.460923565194278</v>
          </cell>
        </row>
        <row r="19">
          <cell r="P19">
            <v>84.74755012398208</v>
          </cell>
        </row>
        <row r="20">
          <cell r="P20">
            <v>72.890803315656854</v>
          </cell>
        </row>
        <row r="21">
          <cell r="P21">
            <v>71.575333174481543</v>
          </cell>
        </row>
        <row r="22">
          <cell r="P22">
            <v>70.173180172484052</v>
          </cell>
        </row>
        <row r="23">
          <cell r="P23">
            <v>79.975488456893331</v>
          </cell>
        </row>
        <row r="24">
          <cell r="P24">
            <v>63.34466646560648</v>
          </cell>
        </row>
        <row r="25">
          <cell r="P25">
            <v>62.284586916728145</v>
          </cell>
        </row>
        <row r="26">
          <cell r="P26">
            <v>69.772138044115223</v>
          </cell>
        </row>
        <row r="27">
          <cell r="P27">
            <v>78.496210328055255</v>
          </cell>
        </row>
        <row r="28">
          <cell r="P28">
            <v>75.446464155186959</v>
          </cell>
        </row>
        <row r="29">
          <cell r="P29">
            <v>87.503661952432026</v>
          </cell>
        </row>
        <row r="30">
          <cell r="P30">
            <v>94.045034009106146</v>
          </cell>
        </row>
        <row r="31">
          <cell r="P31">
            <v>62.160201351921906</v>
          </cell>
        </row>
        <row r="32">
          <cell r="P32">
            <v>71.855466639035868</v>
          </cell>
        </row>
        <row r="33">
          <cell r="P33">
            <v>70.015433229916695</v>
          </cell>
        </row>
        <row r="34">
          <cell r="P34">
            <v>82.274233143182002</v>
          </cell>
        </row>
        <row r="35">
          <cell r="P35">
            <v>70.485340669671999</v>
          </cell>
        </row>
        <row r="36">
          <cell r="P36">
            <v>89.262903336446684</v>
          </cell>
        </row>
        <row r="37">
          <cell r="P37">
            <v>64.819759665854832</v>
          </cell>
        </row>
        <row r="38">
          <cell r="P38">
            <v>110.92027701101186</v>
          </cell>
        </row>
        <row r="39">
          <cell r="P39">
            <v>65.973156837648077</v>
          </cell>
        </row>
        <row r="40">
          <cell r="P40">
            <v>79.708578232232611</v>
          </cell>
        </row>
        <row r="41">
          <cell r="P41">
            <v>57.598630911072412</v>
          </cell>
        </row>
        <row r="42">
          <cell r="P42">
            <v>66.333222462505788</v>
          </cell>
        </row>
        <row r="43">
          <cell r="P43">
            <v>75.19487861698228</v>
          </cell>
        </row>
        <row r="44">
          <cell r="P44">
            <v>75.767021741639851</v>
          </cell>
        </row>
        <row r="45">
          <cell r="P45">
            <v>57.302924189812984</v>
          </cell>
        </row>
        <row r="46">
          <cell r="P46">
            <v>62.786976564563609</v>
          </cell>
        </row>
        <row r="47">
          <cell r="P47">
            <v>87.088392294937719</v>
          </cell>
        </row>
        <row r="48">
          <cell r="P48">
            <v>84.595504707575358</v>
          </cell>
        </row>
        <row r="49">
          <cell r="P49">
            <v>77.248114545623181</v>
          </cell>
        </row>
        <row r="50">
          <cell r="P50">
            <v>287.0963525612064</v>
          </cell>
        </row>
        <row r="51">
          <cell r="P51">
            <v>75.469844557991266</v>
          </cell>
        </row>
        <row r="52">
          <cell r="P52">
            <v>74.421559644817251</v>
          </cell>
        </row>
        <row r="53">
          <cell r="P53">
            <v>67.7635095213478</v>
          </cell>
        </row>
        <row r="54">
          <cell r="P54">
            <v>65.984055370413728</v>
          </cell>
        </row>
        <row r="55">
          <cell r="P55">
            <v>77.588391452916326</v>
          </cell>
        </row>
        <row r="56">
          <cell r="P56">
            <v>69.580130473662805</v>
          </cell>
        </row>
        <row r="57">
          <cell r="P57">
            <v>67.465363220068213</v>
          </cell>
        </row>
        <row r="58">
          <cell r="P58">
            <v>91.234076841401375</v>
          </cell>
        </row>
        <row r="59">
          <cell r="P59">
            <v>74.87713910325995</v>
          </cell>
        </row>
        <row r="60">
          <cell r="P60">
            <v>77.39437023686861</v>
          </cell>
        </row>
        <row r="61">
          <cell r="P61">
            <v>108.8678166525856</v>
          </cell>
        </row>
        <row r="62">
          <cell r="P62">
            <v>108.59096440746458</v>
          </cell>
        </row>
        <row r="63">
          <cell r="P63">
            <v>81.587429766863593</v>
          </cell>
        </row>
        <row r="64">
          <cell r="P64">
            <v>222.69851487138942</v>
          </cell>
        </row>
        <row r="65">
          <cell r="P65">
            <v>89.494999815670411</v>
          </cell>
        </row>
        <row r="66">
          <cell r="P66">
            <v>81.512837747805463</v>
          </cell>
        </row>
        <row r="67">
          <cell r="P67">
            <v>87.79345994001082</v>
          </cell>
        </row>
        <row r="68">
          <cell r="P68">
            <v>79.484175012033717</v>
          </cell>
        </row>
        <row r="69">
          <cell r="P69">
            <v>69.967998593513443</v>
          </cell>
        </row>
        <row r="70">
          <cell r="P70">
            <v>88.49197197236478</v>
          </cell>
        </row>
        <row r="71">
          <cell r="P71">
            <v>98.580578079177528</v>
          </cell>
        </row>
        <row r="72">
          <cell r="P72">
            <v>78.455946261330539</v>
          </cell>
        </row>
        <row r="73">
          <cell r="P73">
            <v>81.68732436940148</v>
          </cell>
        </row>
        <row r="74">
          <cell r="P74">
            <v>92.826362597438461</v>
          </cell>
        </row>
        <row r="75">
          <cell r="P75">
            <v>91.660252987629349</v>
          </cell>
        </row>
        <row r="76">
          <cell r="P76">
            <v>81.028411206672672</v>
          </cell>
        </row>
        <row r="77">
          <cell r="P77">
            <v>110.48349002425707</v>
          </cell>
        </row>
        <row r="78">
          <cell r="P78">
            <v>78.319889966722897</v>
          </cell>
        </row>
        <row r="79">
          <cell r="P79">
            <v>79.954635186037819</v>
          </cell>
        </row>
        <row r="80">
          <cell r="P80">
            <v>71.461355047322044</v>
          </cell>
        </row>
        <row r="81">
          <cell r="P81">
            <v>101.23959716840614</v>
          </cell>
        </row>
        <row r="82">
          <cell r="P82">
            <v>93.205725819452326</v>
          </cell>
        </row>
        <row r="83">
          <cell r="P83">
            <v>67.738758151498416</v>
          </cell>
        </row>
        <row r="84">
          <cell r="P84">
            <v>69.700284950441684</v>
          </cell>
        </row>
        <row r="85">
          <cell r="P85">
            <v>131.44888020675913</v>
          </cell>
        </row>
        <row r="86">
          <cell r="P86">
            <v>83.668397065958601</v>
          </cell>
        </row>
        <row r="87">
          <cell r="P87">
            <v>67.664115661888204</v>
          </cell>
        </row>
        <row r="88">
          <cell r="P88">
            <v>138.34666390418255</v>
          </cell>
        </row>
        <row r="89">
          <cell r="P89">
            <v>125.71371455703306</v>
          </cell>
        </row>
        <row r="90">
          <cell r="P90">
            <v>73.527094341184394</v>
          </cell>
        </row>
        <row r="91">
          <cell r="P91">
            <v>70.734023336929809</v>
          </cell>
        </row>
        <row r="92">
          <cell r="P92">
            <v>85.100280235860353</v>
          </cell>
        </row>
        <row r="93">
          <cell r="P93">
            <v>81.686117655144784</v>
          </cell>
        </row>
        <row r="94">
          <cell r="P94">
            <v>82.196019414724091</v>
          </cell>
        </row>
        <row r="95">
          <cell r="P95">
            <v>265.88491354255729</v>
          </cell>
        </row>
        <row r="96">
          <cell r="P96">
            <v>112.50470108264356</v>
          </cell>
        </row>
        <row r="97">
          <cell r="P97">
            <v>146.08016822744716</v>
          </cell>
        </row>
        <row r="98">
          <cell r="P98">
            <v>147.81473726607149</v>
          </cell>
        </row>
        <row r="99">
          <cell r="P99">
            <v>80.2968100113074</v>
          </cell>
        </row>
        <row r="100">
          <cell r="P100">
            <v>97.690831199538351</v>
          </cell>
        </row>
        <row r="101">
          <cell r="P101">
            <v>108.09367711363534</v>
          </cell>
        </row>
        <row r="102">
          <cell r="P102">
            <v>91.642345601449549</v>
          </cell>
        </row>
        <row r="103">
          <cell r="P103">
            <v>78.478883839626562</v>
          </cell>
        </row>
        <row r="104">
          <cell r="P104">
            <v>144.19920092858595</v>
          </cell>
        </row>
        <row r="105">
          <cell r="P105">
            <v>72.246921732961937</v>
          </cell>
        </row>
        <row r="106">
          <cell r="P106">
            <v>78.47778188359851</v>
          </cell>
        </row>
        <row r="107">
          <cell r="P107">
            <v>86.213890111238399</v>
          </cell>
        </row>
        <row r="108">
          <cell r="P108">
            <v>112.90666587845702</v>
          </cell>
        </row>
        <row r="109">
          <cell r="P109">
            <v>74.525819669431144</v>
          </cell>
        </row>
        <row r="110">
          <cell r="P110">
            <v>78.933655955482678</v>
          </cell>
        </row>
        <row r="111">
          <cell r="P111">
            <v>68.475363380075223</v>
          </cell>
        </row>
        <row r="112">
          <cell r="P112">
            <v>167.87999713497524</v>
          </cell>
        </row>
        <row r="113">
          <cell r="P113">
            <v>65.792717185669503</v>
          </cell>
        </row>
        <row r="114">
          <cell r="P114">
            <v>72.949794055103695</v>
          </cell>
        </row>
        <row r="115">
          <cell r="P115">
            <v>89.416550625621454</v>
          </cell>
        </row>
        <row r="116">
          <cell r="P116">
            <v>83.322397081694248</v>
          </cell>
        </row>
        <row r="117">
          <cell r="P117">
            <v>88.418436602194262</v>
          </cell>
        </row>
        <row r="118">
          <cell r="P118">
            <v>87.988245321734709</v>
          </cell>
        </row>
        <row r="119">
          <cell r="P119">
            <v>98.20109363249847</v>
          </cell>
        </row>
        <row r="120">
          <cell r="P120">
            <v>89.632203619614074</v>
          </cell>
        </row>
        <row r="121">
          <cell r="P121">
            <v>74.745461415527288</v>
          </cell>
        </row>
        <row r="122">
          <cell r="P122">
            <v>254.55260962662805</v>
          </cell>
        </row>
        <row r="123">
          <cell r="P123">
            <v>105.32116591130207</v>
          </cell>
        </row>
        <row r="124">
          <cell r="P124">
            <v>82.105094003131924</v>
          </cell>
        </row>
        <row r="125">
          <cell r="P125">
            <v>76.073650135060802</v>
          </cell>
        </row>
        <row r="126">
          <cell r="P126">
            <v>419.60868446151818</v>
          </cell>
        </row>
        <row r="127">
          <cell r="P127">
            <v>82.362765235319543</v>
          </cell>
        </row>
        <row r="128">
          <cell r="P128">
            <v>87.749165493821423</v>
          </cell>
        </row>
        <row r="129">
          <cell r="P129">
            <v>93.379172070871732</v>
          </cell>
        </row>
        <row r="130">
          <cell r="P130">
            <v>116.65016245974451</v>
          </cell>
        </row>
        <row r="131">
          <cell r="P131">
            <v>74.012903849591595</v>
          </cell>
        </row>
        <row r="132">
          <cell r="P132">
            <v>143.22331390389337</v>
          </cell>
        </row>
        <row r="133">
          <cell r="P133">
            <v>70.990209302085944</v>
          </cell>
        </row>
        <row r="134">
          <cell r="P134">
            <v>154.29117674994248</v>
          </cell>
        </row>
        <row r="135">
          <cell r="P135">
            <v>114.82415436705638</v>
          </cell>
        </row>
        <row r="136">
          <cell r="P136">
            <v>103.27047421331012</v>
          </cell>
        </row>
        <row r="137">
          <cell r="P137">
            <v>86.882375824754803</v>
          </cell>
        </row>
        <row r="138">
          <cell r="P138">
            <v>83.931204717168967</v>
          </cell>
        </row>
        <row r="139">
          <cell r="P139">
            <v>83.934788772905819</v>
          </cell>
        </row>
        <row r="140">
          <cell r="P140">
            <v>104.88136327794334</v>
          </cell>
        </row>
        <row r="141">
          <cell r="P141">
            <v>157.90749578473046</v>
          </cell>
        </row>
        <row r="142">
          <cell r="P142">
            <v>81.83089293714572</v>
          </cell>
        </row>
        <row r="143">
          <cell r="P143">
            <v>77.003368197309001</v>
          </cell>
        </row>
        <row r="144">
          <cell r="P144">
            <v>67.683177130854034</v>
          </cell>
        </row>
        <row r="145">
          <cell r="P145">
            <v>107.45890629699315</v>
          </cell>
        </row>
        <row r="146">
          <cell r="P146">
            <v>78.686289524477232</v>
          </cell>
        </row>
        <row r="147">
          <cell r="P147">
            <v>91.52653921710035</v>
          </cell>
        </row>
        <row r="148">
          <cell r="P148">
            <v>72.565282821172786</v>
          </cell>
        </row>
        <row r="149">
          <cell r="P149">
            <v>62.058545673908405</v>
          </cell>
        </row>
        <row r="150">
          <cell r="P150">
            <v>79.468508630514293</v>
          </cell>
        </row>
        <row r="151">
          <cell r="P151">
            <v>72.461634160570526</v>
          </cell>
        </row>
        <row r="152">
          <cell r="P152">
            <v>77.599614160746924</v>
          </cell>
        </row>
        <row r="153">
          <cell r="P153">
            <v>75.949348599009895</v>
          </cell>
        </row>
        <row r="154">
          <cell r="P154">
            <v>63.649542227411935</v>
          </cell>
        </row>
        <row r="155">
          <cell r="P155">
            <v>76.564382286199887</v>
          </cell>
        </row>
        <row r="156">
          <cell r="P156">
            <v>105.06734633153019</v>
          </cell>
        </row>
        <row r="157">
          <cell r="P157">
            <v>101.52017735496503</v>
          </cell>
        </row>
        <row r="158">
          <cell r="P158">
            <v>87.240804986974737</v>
          </cell>
        </row>
        <row r="159">
          <cell r="P159">
            <v>90.164969083049101</v>
          </cell>
        </row>
        <row r="160">
          <cell r="P160">
            <v>89.402767004225339</v>
          </cell>
        </row>
        <row r="161">
          <cell r="P161">
            <v>60.271345921653797</v>
          </cell>
        </row>
        <row r="162">
          <cell r="P162">
            <v>93.148485308489143</v>
          </cell>
        </row>
        <row r="163">
          <cell r="P163">
            <v>84.907902664962407</v>
          </cell>
        </row>
        <row r="164">
          <cell r="P164">
            <v>108.20503009690641</v>
          </cell>
        </row>
        <row r="165">
          <cell r="P165">
            <v>86.104340380072088</v>
          </cell>
        </row>
        <row r="166">
          <cell r="P166">
            <v>81.049248451180105</v>
          </cell>
        </row>
        <row r="167">
          <cell r="P167">
            <v>71.546864474186165</v>
          </cell>
        </row>
        <row r="168">
          <cell r="P168">
            <v>78.254801562613835</v>
          </cell>
        </row>
        <row r="169">
          <cell r="P169">
            <v>58.659562026093525</v>
          </cell>
        </row>
        <row r="170">
          <cell r="P170">
            <v>64.217139982785383</v>
          </cell>
        </row>
      </sheetData>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A15" sqref="A15"/>
    </sheetView>
  </sheetViews>
  <sheetFormatPr baseColWidth="10" defaultRowHeight="13.2" x14ac:dyDescent="0.25"/>
  <cols>
    <col min="1" max="1" width="9.33203125" customWidth="1"/>
    <col min="2" max="2" width="51.33203125" customWidth="1"/>
    <col min="3" max="3" width="4.5546875" customWidth="1"/>
  </cols>
  <sheetData>
    <row r="1" spans="1:3" ht="14.4" x14ac:dyDescent="0.3">
      <c r="A1" s="54" t="s">
        <v>389</v>
      </c>
      <c r="B1" s="55"/>
      <c r="C1" s="55"/>
    </row>
    <row r="2" spans="1:3" ht="14.4" x14ac:dyDescent="0.3">
      <c r="A2" s="55"/>
      <c r="B2" s="55"/>
      <c r="C2" s="55"/>
    </row>
    <row r="3" spans="1:3" ht="14.4" x14ac:dyDescent="0.3">
      <c r="A3" s="55"/>
      <c r="C3" s="55"/>
    </row>
    <row r="4" spans="1:3" ht="14.4" x14ac:dyDescent="0.3">
      <c r="A4" s="56">
        <v>1</v>
      </c>
      <c r="B4" s="55" t="s">
        <v>390</v>
      </c>
    </row>
    <row r="5" spans="1:3" ht="14.4" x14ac:dyDescent="0.3">
      <c r="A5" s="57">
        <v>2</v>
      </c>
      <c r="B5" s="55" t="s">
        <v>393</v>
      </c>
    </row>
    <row r="6" spans="1:3" ht="14.4" x14ac:dyDescent="0.3">
      <c r="A6" s="56">
        <v>3</v>
      </c>
      <c r="B6" s="55" t="s">
        <v>395</v>
      </c>
    </row>
    <row r="7" spans="1:3" ht="14.4" x14ac:dyDescent="0.3">
      <c r="A7" s="56">
        <v>4</v>
      </c>
      <c r="B7" s="55" t="s">
        <v>394</v>
      </c>
    </row>
    <row r="8" spans="1:3" ht="14.4" x14ac:dyDescent="0.3">
      <c r="A8" s="56">
        <v>5</v>
      </c>
      <c r="B8" s="55" t="s">
        <v>419</v>
      </c>
    </row>
    <row r="9" spans="1:3" ht="14.4" x14ac:dyDescent="0.3">
      <c r="A9" s="56">
        <v>6</v>
      </c>
      <c r="B9" s="55" t="s">
        <v>420</v>
      </c>
    </row>
    <row r="10" spans="1:3" ht="14.4" x14ac:dyDescent="0.3">
      <c r="A10" s="56">
        <v>7</v>
      </c>
      <c r="B10" s="55" t="s">
        <v>421</v>
      </c>
    </row>
    <row r="11" spans="1:3" ht="14.4" x14ac:dyDescent="0.3">
      <c r="A11" s="56">
        <v>8</v>
      </c>
      <c r="B11" s="55" t="s">
        <v>451</v>
      </c>
    </row>
    <row r="12" spans="1:3" ht="14.4" x14ac:dyDescent="0.3">
      <c r="A12" s="56">
        <v>9</v>
      </c>
      <c r="B12" s="55" t="s">
        <v>440</v>
      </c>
    </row>
    <row r="13" spans="1:3" ht="14.4" x14ac:dyDescent="0.3">
      <c r="A13" s="56">
        <v>10</v>
      </c>
      <c r="B13" s="55" t="s">
        <v>441</v>
      </c>
      <c r="C13" s="55"/>
    </row>
    <row r="14" spans="1:3" ht="14.4" x14ac:dyDescent="0.3">
      <c r="A14" s="56">
        <v>11</v>
      </c>
      <c r="B14" s="55" t="s">
        <v>442</v>
      </c>
      <c r="C14" s="55"/>
    </row>
    <row r="15" spans="1:3" ht="14.4" x14ac:dyDescent="0.3">
      <c r="A15" s="56"/>
      <c r="C15" s="55"/>
    </row>
    <row r="16" spans="1:3" ht="14.4" x14ac:dyDescent="0.3">
      <c r="A16" s="56"/>
      <c r="B16" s="55"/>
      <c r="C16" s="55"/>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23"/>
  <sheetViews>
    <sheetView workbookViewId="0">
      <selection activeCell="C228" sqref="C228"/>
    </sheetView>
  </sheetViews>
  <sheetFormatPr baseColWidth="10" defaultRowHeight="13.2" x14ac:dyDescent="0.25"/>
  <cols>
    <col min="1" max="1" width="6.88671875" customWidth="1"/>
    <col min="2" max="2" width="22.6640625" customWidth="1"/>
    <col min="6" max="6" width="13.6640625" customWidth="1"/>
  </cols>
  <sheetData>
    <row r="1" spans="1:7" x14ac:dyDescent="0.25">
      <c r="A1" s="92" t="s">
        <v>446</v>
      </c>
    </row>
    <row r="4" spans="1:7" ht="13.8" x14ac:dyDescent="0.3">
      <c r="C4" s="341" t="s">
        <v>434</v>
      </c>
      <c r="D4" s="341" t="s">
        <v>434</v>
      </c>
      <c r="E4" s="167"/>
      <c r="F4" s="387" t="s">
        <v>452</v>
      </c>
      <c r="G4" s="408" t="s">
        <v>380</v>
      </c>
    </row>
    <row r="5" spans="1:7" ht="13.8" x14ac:dyDescent="0.3">
      <c r="C5" s="341" t="s">
        <v>436</v>
      </c>
      <c r="D5" s="341" t="s">
        <v>436</v>
      </c>
      <c r="E5" s="167" t="s">
        <v>467</v>
      </c>
      <c r="F5" s="387" t="s">
        <v>453</v>
      </c>
      <c r="G5" s="408" t="s">
        <v>493</v>
      </c>
    </row>
    <row r="6" spans="1:7" ht="13.8" x14ac:dyDescent="0.3">
      <c r="A6" s="61"/>
      <c r="B6" s="61"/>
      <c r="C6" s="341" t="s">
        <v>403</v>
      </c>
      <c r="D6" s="341" t="s">
        <v>404</v>
      </c>
      <c r="F6" s="386">
        <f>('B7 Performance corr fusions'!O6+'B7 Performance corr fusions'!P6+'B7 Performance corr fusions'!Q6)/('B7 Performance corr fusions'!C6+'B7 Performance corr fusions'!D6+'B7 Performance corr fusions'!E6)</f>
        <v>42.837035518297533</v>
      </c>
      <c r="G6" s="408" t="s">
        <v>494</v>
      </c>
    </row>
    <row r="7" spans="1:7" x14ac:dyDescent="0.25">
      <c r="A7" s="61"/>
      <c r="B7" s="61"/>
      <c r="C7" s="342" t="s">
        <v>437</v>
      </c>
      <c r="D7" s="341" t="s">
        <v>437</v>
      </c>
      <c r="E7" s="341" t="s">
        <v>438</v>
      </c>
      <c r="F7" s="389" t="s">
        <v>454</v>
      </c>
    </row>
    <row r="8" spans="1:7" ht="13.8" x14ac:dyDescent="0.25">
      <c r="A8" s="93">
        <v>2130</v>
      </c>
      <c r="B8" s="94" t="s">
        <v>109</v>
      </c>
      <c r="C8" s="343">
        <f>('B8 Incidences '!C64+'B8 Incidences '!I64+'B8 Incidences '!O64)/3</f>
        <v>1207.4760905937753</v>
      </c>
      <c r="D8" s="343">
        <f>('B8 Incidences '!D64+'B8 Incidences '!J64+'B8 Incidences '!P64)/3</f>
        <v>1216.1590393018853</v>
      </c>
      <c r="E8" s="153">
        <f t="shared" ref="E8:E39" si="0">D8-C8</f>
        <v>8.6829487081099614</v>
      </c>
      <c r="F8" s="385">
        <f>('B8 Incidences '!E64+'B8 Incidences '!K64+'B8 Incidences '!Q64)/3</f>
        <v>8.6829487081103398</v>
      </c>
      <c r="G8" s="409">
        <v>68.8</v>
      </c>
    </row>
    <row r="9" spans="1:7" ht="13.8" x14ac:dyDescent="0.25">
      <c r="A9" s="96">
        <v>2051</v>
      </c>
      <c r="B9" s="97" t="s">
        <v>310</v>
      </c>
      <c r="C9" s="343">
        <f>('B8 Incidences '!C36+'B8 Incidences '!I36+'B8 Incidences '!O36)/3</f>
        <v>1482.3566462979361</v>
      </c>
      <c r="D9" s="343">
        <f>('B8 Incidences '!D36+'B8 Incidences '!J36+'B8 Incidences '!P36)/3</f>
        <v>1501.3873107272432</v>
      </c>
      <c r="E9" s="153">
        <f t="shared" si="0"/>
        <v>19.03066442930708</v>
      </c>
      <c r="F9" s="385">
        <f>('B8 Incidences '!E36+'B8 Incidences '!K36+'B8 Incidences '!Q36)/3</f>
        <v>19.030664429307155</v>
      </c>
      <c r="G9" s="409">
        <v>84.47</v>
      </c>
    </row>
    <row r="10" spans="1:7" ht="13.8" x14ac:dyDescent="0.25">
      <c r="A10" s="96">
        <v>2300</v>
      </c>
      <c r="B10" s="97" t="s">
        <v>272</v>
      </c>
      <c r="C10" s="343">
        <f>('B8 Incidences '!C151+'B8 Incidences '!I151+'B8 Incidences '!O151)/3</f>
        <v>1483.1533545337913</v>
      </c>
      <c r="D10" s="343">
        <f>('B8 Incidences '!D151+'B8 Incidences '!J151+'B8 Incidences '!P151)/3</f>
        <v>1503.7683770033752</v>
      </c>
      <c r="E10" s="153">
        <f t="shared" si="0"/>
        <v>20.615022469583892</v>
      </c>
      <c r="F10" s="385">
        <f>('B8 Incidences '!E151+'B8 Incidences '!K151+'B8 Incidences '!Q151)/3</f>
        <v>20.61502246958359</v>
      </c>
      <c r="G10" s="409">
        <v>84.556666666666658</v>
      </c>
    </row>
    <row r="11" spans="1:7" ht="13.8" x14ac:dyDescent="0.25">
      <c r="A11" s="96">
        <v>2039</v>
      </c>
      <c r="B11" s="97" t="s">
        <v>41</v>
      </c>
      <c r="C11" s="343">
        <f>('B8 Incidences '!C27+'B8 Incidences '!I27+'B8 Incidences '!O27)/3</f>
        <v>1555.0327073014562</v>
      </c>
      <c r="D11" s="343">
        <f>('B8 Incidences '!D27+'B8 Incidences '!J27+'B8 Incidences '!P27)/3</f>
        <v>1577.5460890917723</v>
      </c>
      <c r="E11" s="153">
        <f t="shared" si="0"/>
        <v>22.513381790316089</v>
      </c>
      <c r="F11" s="385">
        <f>('B8 Incidences '!E27+'B8 Incidences '!K27+'B8 Incidences '!Q27)/3</f>
        <v>22.513381790316014</v>
      </c>
      <c r="G11" s="409">
        <v>88.589999999999989</v>
      </c>
    </row>
    <row r="12" spans="1:7" ht="13.8" x14ac:dyDescent="0.25">
      <c r="A12" s="96">
        <v>2008</v>
      </c>
      <c r="B12" s="97" t="s">
        <v>4</v>
      </c>
      <c r="C12" s="343">
        <f>('B8 Incidences '!C10+'B8 Incidences '!I10+'B8 Incidences '!O10)/3</f>
        <v>1559.6119505500392</v>
      </c>
      <c r="D12" s="343">
        <f>('B8 Incidences '!D10+'B8 Incidences '!J10+'B8 Incidences '!P10)/3</f>
        <v>1582.2910477642056</v>
      </c>
      <c r="E12" s="153">
        <f t="shared" si="0"/>
        <v>22.679097214166404</v>
      </c>
      <c r="F12" s="385">
        <f>('B8 Incidences '!E10+'B8 Incidences '!K10+'B8 Incidences '!Q10)/3</f>
        <v>22.679097214166404</v>
      </c>
      <c r="G12" s="409">
        <v>88.766666666666652</v>
      </c>
    </row>
    <row r="13" spans="1:7" ht="13.8" x14ac:dyDescent="0.25">
      <c r="A13" s="96">
        <v>2049</v>
      </c>
      <c r="B13" s="97" t="s">
        <v>55</v>
      </c>
      <c r="C13" s="343">
        <f>('B8 Incidences '!C34+'B8 Incidences '!I34+'B8 Incidences '!O34)/3</f>
        <v>1583.0262540078147</v>
      </c>
      <c r="D13" s="343">
        <f>('B8 Incidences '!D34+'B8 Incidences '!J34+'B8 Incidences '!P34)/3</f>
        <v>1605.9011271873812</v>
      </c>
      <c r="E13" s="153">
        <f t="shared" si="0"/>
        <v>22.874873179566521</v>
      </c>
      <c r="F13" s="385">
        <f>('B8 Incidences '!E34+'B8 Incidences '!K34+'B8 Incidences '!Q34)/3</f>
        <v>22.874873179566293</v>
      </c>
      <c r="G13" s="409">
        <v>90.25333333333333</v>
      </c>
    </row>
    <row r="14" spans="1:7" ht="13.8" x14ac:dyDescent="0.25">
      <c r="A14" s="96">
        <v>2266</v>
      </c>
      <c r="B14" s="97" t="s">
        <v>232</v>
      </c>
      <c r="C14" s="343">
        <f>('B8 Incidences '!C130+'B8 Incidences '!I130+'B8 Incidences '!O130)/3</f>
        <v>1537.2202649025251</v>
      </c>
      <c r="D14" s="343">
        <f>('B8 Incidences '!D130+'B8 Incidences '!J130+'B8 Incidences '!P130)/3</f>
        <v>1560.4223770976514</v>
      </c>
      <c r="E14" s="153">
        <f t="shared" si="0"/>
        <v>23.202112195126347</v>
      </c>
      <c r="F14" s="385">
        <f>('B8 Incidences '!E130+'B8 Incidences '!K130+'B8 Incidences '!Q130)/3</f>
        <v>23.202112195126194</v>
      </c>
      <c r="G14" s="409">
        <v>87.586666666666659</v>
      </c>
    </row>
    <row r="15" spans="1:7" ht="13.8" x14ac:dyDescent="0.25">
      <c r="A15" s="96">
        <v>2251</v>
      </c>
      <c r="B15" s="97" t="s">
        <v>213</v>
      </c>
      <c r="C15" s="343">
        <f>('B8 Incidences '!C120+'B8 Incidences '!I120+'B8 Incidences '!O120)/3</f>
        <v>1531.1258300630627</v>
      </c>
      <c r="D15" s="343">
        <f>('B8 Incidences '!D120+'B8 Incidences '!J120+'B8 Incidences '!P120)/3</f>
        <v>1554.4973602382042</v>
      </c>
      <c r="E15" s="153">
        <f t="shared" si="0"/>
        <v>23.371530175141515</v>
      </c>
      <c r="F15" s="385">
        <f>('B8 Incidences '!E120+'B8 Incidences '!K120+'B8 Incidences '!Q120)/3</f>
        <v>23.371530175141668</v>
      </c>
      <c r="G15" s="409">
        <v>87.293333333333337</v>
      </c>
    </row>
    <row r="16" spans="1:7" s="107" customFormat="1" ht="13.8" x14ac:dyDescent="0.25">
      <c r="A16" s="96">
        <v>2128</v>
      </c>
      <c r="B16" s="97" t="s">
        <v>105</v>
      </c>
      <c r="C16" s="343">
        <f>('B8 Incidences '!C62+'B8 Incidences '!I62+'B8 Incidences '!O62)/3</f>
        <v>1550.0341040877377</v>
      </c>
      <c r="D16" s="343">
        <f>('B8 Incidences '!D62+'B8 Incidences '!J62+'B8 Incidences '!P62)/3</f>
        <v>1574.2653711605587</v>
      </c>
      <c r="E16" s="153">
        <f t="shared" si="0"/>
        <v>24.231267072821083</v>
      </c>
      <c r="F16" s="385">
        <f>('B8 Incidences '!E62+'B8 Incidences '!K62+'B8 Incidences '!Q62)/3</f>
        <v>24.231267072820703</v>
      </c>
      <c r="G16" s="409">
        <v>88.24666666666667</v>
      </c>
    </row>
    <row r="17" spans="1:7" ht="13.8" x14ac:dyDescent="0.25">
      <c r="A17" s="96">
        <v>2301</v>
      </c>
      <c r="B17" s="97" t="s">
        <v>274</v>
      </c>
      <c r="C17" s="343">
        <f>('B8 Incidences '!C152+'B8 Incidences '!I152+'B8 Incidences '!O152)/3</f>
        <v>1548.2392358099871</v>
      </c>
      <c r="D17" s="343">
        <f>('B8 Incidences '!D152+'B8 Incidences '!J152+'B8 Incidences '!P152)/3</f>
        <v>1572.5434738965096</v>
      </c>
      <c r="E17" s="153">
        <f t="shared" si="0"/>
        <v>24.304238086522446</v>
      </c>
      <c r="F17" s="385">
        <f>('B8 Incidences '!E152+'B8 Incidences '!K152+'B8 Incidences '!Q152)/3</f>
        <v>24.304238086522293</v>
      </c>
      <c r="G17" s="409">
        <v>88.15666666666668</v>
      </c>
    </row>
    <row r="18" spans="1:7" ht="13.8" x14ac:dyDescent="0.25">
      <c r="A18" s="96">
        <v>2259</v>
      </c>
      <c r="B18" s="97" t="s">
        <v>221</v>
      </c>
      <c r="C18" s="343">
        <f>('B8 Incidences '!C124+'B8 Incidences '!I124+'B8 Incidences '!O124)/3</f>
        <v>1562.9534079948507</v>
      </c>
      <c r="D18" s="343">
        <f>('B8 Incidences '!D124+'B8 Incidences '!J124+'B8 Incidences '!P124)/3</f>
        <v>1587.5398523717643</v>
      </c>
      <c r="E18" s="153">
        <f t="shared" si="0"/>
        <v>24.586444376913505</v>
      </c>
      <c r="F18" s="385">
        <f>('B8 Incidences '!E124+'B8 Incidences '!K124+'B8 Incidences '!Q124)/3</f>
        <v>24.58644437691343</v>
      </c>
      <c r="G18" s="409">
        <v>89.006666666666661</v>
      </c>
    </row>
    <row r="19" spans="1:7" ht="13.8" x14ac:dyDescent="0.25">
      <c r="A19" s="96">
        <v>2162</v>
      </c>
      <c r="B19" s="97" t="s">
        <v>112</v>
      </c>
      <c r="C19" s="343">
        <f>('B8 Incidences '!C80+'B8 Incidences '!I80+'B8 Incidences '!O80)/3</f>
        <v>1575.8683851629103</v>
      </c>
      <c r="D19" s="343">
        <f>('B8 Incidences '!D80+'B8 Incidences '!J80+'B8 Incidences '!P80)/3</f>
        <v>1600.4677477291707</v>
      </c>
      <c r="E19" s="153">
        <f t="shared" si="0"/>
        <v>24.599362566260425</v>
      </c>
      <c r="F19" s="385">
        <f>('B8 Incidences '!E80+'B8 Incidences '!K80+'B8 Incidences '!Q80)/3</f>
        <v>24.599362566260652</v>
      </c>
      <c r="G19" s="409">
        <v>89.8</v>
      </c>
    </row>
    <row r="20" spans="1:7" ht="13.8" x14ac:dyDescent="0.25">
      <c r="A20" s="96">
        <v>2022</v>
      </c>
      <c r="B20" s="97" t="s">
        <v>22</v>
      </c>
      <c r="C20" s="343">
        <f>('B8 Incidences '!C18+'B8 Incidences '!I18+'B8 Incidences '!O18)/3</f>
        <v>1606.0461561317945</v>
      </c>
      <c r="D20" s="343">
        <f>('B8 Incidences '!D18+'B8 Incidences '!J18+'B8 Incidences '!P18)/3</f>
        <v>1630.976190097068</v>
      </c>
      <c r="E20" s="153">
        <f t="shared" si="0"/>
        <v>24.930033965273424</v>
      </c>
      <c r="F20" s="385">
        <f>('B8 Incidences '!E18+'B8 Incidences '!K18+'B8 Incidences '!Q18)/3</f>
        <v>24.930033965273196</v>
      </c>
      <c r="G20" s="409">
        <v>91.416666666666671</v>
      </c>
    </row>
    <row r="21" spans="1:7" ht="13.8" x14ac:dyDescent="0.25">
      <c r="A21" s="96">
        <v>2303</v>
      </c>
      <c r="B21" s="97" t="s">
        <v>278</v>
      </c>
      <c r="C21" s="343">
        <f>('B8 Incidences '!C154+'B8 Incidences '!I154+'B8 Incidences '!O154)/3</f>
        <v>1564.7502060589541</v>
      </c>
      <c r="D21" s="343">
        <f>('B8 Incidences '!D154+'B8 Incidences '!J154+'B8 Incidences '!P154)/3</f>
        <v>1590.1424597830189</v>
      </c>
      <c r="E21" s="153">
        <f t="shared" si="0"/>
        <v>25.392253724064858</v>
      </c>
      <c r="F21" s="385">
        <f>('B8 Incidences '!E154+'B8 Incidences '!K154+'B8 Incidences '!Q154)/3</f>
        <v>25.392253724064705</v>
      </c>
      <c r="G21" s="409">
        <v>89.196666666666673</v>
      </c>
    </row>
    <row r="22" spans="1:7" ht="13.8" x14ac:dyDescent="0.25">
      <c r="A22" s="96">
        <v>2302</v>
      </c>
      <c r="B22" s="97" t="s">
        <v>276</v>
      </c>
      <c r="C22" s="343">
        <f>('B8 Incidences '!C153+'B8 Incidences '!I153+'B8 Incidences '!O153)/3</f>
        <v>1564.5376615423911</v>
      </c>
      <c r="D22" s="343">
        <f>('B8 Incidences '!D153+'B8 Incidences '!J153+'B8 Incidences '!P153)/3</f>
        <v>1590.8316996065614</v>
      </c>
      <c r="E22" s="153">
        <f t="shared" si="0"/>
        <v>26.294038064170309</v>
      </c>
      <c r="F22" s="385">
        <f>('B8 Incidences '!E153+'B8 Incidences '!K153+'B8 Incidences '!Q153)/3</f>
        <v>26.294038064170461</v>
      </c>
      <c r="G22" s="409">
        <v>89.2</v>
      </c>
    </row>
    <row r="23" spans="1:7" ht="13.8" x14ac:dyDescent="0.25">
      <c r="A23" s="96">
        <v>2010</v>
      </c>
      <c r="B23" s="97" t="s">
        <v>8</v>
      </c>
      <c r="C23" s="343">
        <f>('B8 Incidences '!C12+'B8 Incidences '!I12+'B8 Incidences '!O12)/3</f>
        <v>1595.9081156439354</v>
      </c>
      <c r="D23" s="343">
        <f>('B8 Incidences '!D12+'B8 Incidences '!J12+'B8 Incidences '!P12)/3</f>
        <v>1622.3601637722429</v>
      </c>
      <c r="E23" s="153">
        <f t="shared" si="0"/>
        <v>26.452048128307524</v>
      </c>
      <c r="F23" s="385">
        <f>('B8 Incidences '!E12+'B8 Incidences '!K12+'B8 Incidences '!Q12)/3</f>
        <v>26.452048128307297</v>
      </c>
      <c r="G23" s="409">
        <v>90.776666666666685</v>
      </c>
    </row>
    <row r="24" spans="1:7" ht="13.8" x14ac:dyDescent="0.25">
      <c r="A24" s="96">
        <v>2299</v>
      </c>
      <c r="B24" s="97" t="s">
        <v>270</v>
      </c>
      <c r="C24" s="343">
        <f>('B8 Incidences '!C150+'B8 Incidences '!I150+'B8 Incidences '!O150)/3</f>
        <v>1575.8943065487556</v>
      </c>
      <c r="D24" s="343">
        <f>('B8 Incidences '!D150+'B8 Incidences '!J150+'B8 Incidences '!P150)/3</f>
        <v>1602.7131845861106</v>
      </c>
      <c r="E24" s="153">
        <f t="shared" si="0"/>
        <v>26.818878037355034</v>
      </c>
      <c r="F24" s="385">
        <f>('B8 Incidences '!E150+'B8 Incidences '!K150+'B8 Incidences '!Q150)/3</f>
        <v>26.81887803735496</v>
      </c>
      <c r="G24" s="409">
        <v>89.86</v>
      </c>
    </row>
    <row r="25" spans="1:7" ht="13.8" x14ac:dyDescent="0.25">
      <c r="A25" s="96">
        <v>2024</v>
      </c>
      <c r="B25" s="97" t="s">
        <v>24</v>
      </c>
      <c r="C25" s="343">
        <f>('B8 Incidences '!C19+'B8 Incidences '!I19+'B8 Incidences '!O19)/3</f>
        <v>1604.7514681673965</v>
      </c>
      <c r="D25" s="343">
        <f>('B8 Incidences '!D19+'B8 Incidences '!J19+'B8 Incidences '!P19)/3</f>
        <v>1631.631931953302</v>
      </c>
      <c r="E25" s="153">
        <f t="shared" si="0"/>
        <v>26.880463785905476</v>
      </c>
      <c r="F25" s="385">
        <f>('B8 Incidences '!E19+'B8 Incidences '!K19+'B8 Incidences '!Q19)/3</f>
        <v>26.880463785905096</v>
      </c>
      <c r="G25" s="409">
        <v>91.38</v>
      </c>
    </row>
    <row r="26" spans="1:7" ht="13.8" x14ac:dyDescent="0.25">
      <c r="A26" s="96">
        <v>2308</v>
      </c>
      <c r="B26" s="97" t="s">
        <v>308</v>
      </c>
      <c r="C26" s="343">
        <f>('B8 Incidences '!C159+'B8 Incidences '!I159+'B8 Incidences '!O159)/3</f>
        <v>1593.8248050899658</v>
      </c>
      <c r="D26" s="343">
        <f>('B8 Incidences '!D159+'B8 Incidences '!J159+'B8 Incidences '!P159)/3</f>
        <v>1620.8087362264798</v>
      </c>
      <c r="E26" s="153">
        <f t="shared" si="0"/>
        <v>26.983931136514002</v>
      </c>
      <c r="F26" s="385">
        <f>('B8 Incidences '!E159+'B8 Incidences '!K159+'B8 Incidences '!Q159)/3</f>
        <v>26.983931136514155</v>
      </c>
      <c r="G26" s="409">
        <v>90.763333333333335</v>
      </c>
    </row>
    <row r="27" spans="1:7" ht="13.8" x14ac:dyDescent="0.25">
      <c r="A27" s="96">
        <v>2261</v>
      </c>
      <c r="B27" s="97" t="s">
        <v>225</v>
      </c>
      <c r="C27" s="343">
        <f>('B8 Incidences '!C126+'B8 Incidences '!I126+'B8 Incidences '!O126)/3</f>
        <v>1592.4050607929464</v>
      </c>
      <c r="D27" s="343">
        <f>('B8 Incidences '!D126+'B8 Incidences '!J126+'B8 Incidences '!P126)/3</f>
        <v>1619.4925270845185</v>
      </c>
      <c r="E27" s="153">
        <f t="shared" si="0"/>
        <v>27.087466291572127</v>
      </c>
      <c r="F27" s="385">
        <f>('B8 Incidences '!E126+'B8 Incidences '!K126+'B8 Incidences '!Q126)/3</f>
        <v>27.087466291572127</v>
      </c>
      <c r="G27" s="409">
        <v>90.743333333333339</v>
      </c>
    </row>
    <row r="28" spans="1:7" ht="13.8" x14ac:dyDescent="0.25">
      <c r="A28" s="96">
        <v>2004</v>
      </c>
      <c r="B28" s="97" t="s">
        <v>1</v>
      </c>
      <c r="C28" s="343">
        <f>('B8 Incidences '!C8+'B8 Incidences '!I8+'B8 Incidences '!O8)/3</f>
        <v>1615.7949820856468</v>
      </c>
      <c r="D28" s="343">
        <f>('B8 Incidences '!D8+'B8 Incidences '!J8+'B8 Incidences '!P8)/3</f>
        <v>1643.2554150436836</v>
      </c>
      <c r="E28" s="153">
        <f t="shared" si="0"/>
        <v>27.46043295803679</v>
      </c>
      <c r="F28" s="385">
        <f>('B8 Incidences '!E8+'B8 Incidences '!K8+'B8 Incidences '!Q8)/3</f>
        <v>27.460432958036638</v>
      </c>
      <c r="G28" s="409">
        <v>91.93</v>
      </c>
    </row>
    <row r="29" spans="1:7" ht="13.8" x14ac:dyDescent="0.25">
      <c r="A29" s="96">
        <v>2121</v>
      </c>
      <c r="B29" s="97" t="s">
        <v>92</v>
      </c>
      <c r="C29" s="343">
        <f>('B8 Incidences '!C57+'B8 Incidences '!I57+'B8 Incidences '!O57)/3</f>
        <v>1593.5107262734884</v>
      </c>
      <c r="D29" s="343">
        <f>('B8 Incidences '!D57+'B8 Incidences '!J57+'B8 Incidences '!P57)/3</f>
        <v>1621.1893563508975</v>
      </c>
      <c r="E29" s="153">
        <f t="shared" si="0"/>
        <v>27.678630077409025</v>
      </c>
      <c r="F29" s="385">
        <f>('B8 Incidences '!E57+'B8 Incidences '!K57+'B8 Incidences '!Q57)/3</f>
        <v>27.6786300774091</v>
      </c>
      <c r="G29" s="409">
        <v>90.833333333333329</v>
      </c>
    </row>
    <row r="30" spans="1:7" ht="13.8" x14ac:dyDescent="0.25">
      <c r="A30" s="96">
        <v>2050</v>
      </c>
      <c r="B30" s="97" t="s">
        <v>31</v>
      </c>
      <c r="C30" s="343">
        <f>('B8 Incidences '!C35+'B8 Incidences '!I35+'B8 Incidences '!O35)/3</f>
        <v>1619.1237439101835</v>
      </c>
      <c r="D30" s="343">
        <f>('B8 Incidences '!D35+'B8 Incidences '!J35+'B8 Incidences '!P35)/3</f>
        <v>1647.1014282307453</v>
      </c>
      <c r="E30" s="153">
        <f t="shared" si="0"/>
        <v>27.977684320561821</v>
      </c>
      <c r="F30" s="385">
        <f>('B8 Incidences '!E35+'B8 Incidences '!K35+'B8 Incidences '!Q35)/3</f>
        <v>27.977684320561593</v>
      </c>
      <c r="G30" s="409">
        <v>92.29</v>
      </c>
    </row>
    <row r="31" spans="1:7" ht="13.8" x14ac:dyDescent="0.25">
      <c r="A31" s="96">
        <v>2179</v>
      </c>
      <c r="B31" s="97" t="s">
        <v>154</v>
      </c>
      <c r="C31" s="343">
        <f>('B8 Incidences '!C88+'B8 Incidences '!I88+'B8 Incidences '!O88)/3</f>
        <v>1614.7655671838854</v>
      </c>
      <c r="D31" s="343">
        <f>('B8 Incidences '!D88+'B8 Incidences '!J88+'B8 Incidences '!P88)/3</f>
        <v>1643.1812306611555</v>
      </c>
      <c r="E31" s="153">
        <f t="shared" si="0"/>
        <v>28.415663477270073</v>
      </c>
      <c r="F31" s="385">
        <f>('B8 Incidences '!E88+'B8 Incidences '!K88+'B8 Incidences '!Q88)/3</f>
        <v>28.415663477270375</v>
      </c>
      <c r="G31" s="409">
        <v>92.056666666666658</v>
      </c>
    </row>
    <row r="32" spans="1:7" ht="13.8" x14ac:dyDescent="0.25">
      <c r="A32" s="108">
        <v>2163</v>
      </c>
      <c r="B32" s="109" t="s">
        <v>387</v>
      </c>
      <c r="C32" s="343">
        <f>('B8 Incidences '!C81+'B8 Incidences '!I81+'B8 Incidences '!O81)/3</f>
        <v>1623.7336811123816</v>
      </c>
      <c r="D32" s="343">
        <f>('B8 Incidences '!D81+'B8 Incidences '!J81+'B8 Incidences '!P81)/3</f>
        <v>1652.5020029544728</v>
      </c>
      <c r="E32" s="153">
        <f t="shared" si="0"/>
        <v>28.768321842091154</v>
      </c>
      <c r="F32" s="385">
        <f>('B8 Incidences '!E81+'B8 Incidences '!K81+'B8 Incidences '!Q81)/3</f>
        <v>28.768321842090625</v>
      </c>
      <c r="G32" s="410">
        <v>92.52</v>
      </c>
    </row>
    <row r="33" spans="1:7" ht="13.8" x14ac:dyDescent="0.25">
      <c r="A33" s="96">
        <v>2123</v>
      </c>
      <c r="B33" s="97" t="s">
        <v>95</v>
      </c>
      <c r="C33" s="343">
        <f>('B8 Incidences '!C59+'B8 Incidences '!I59+'B8 Incidences '!O59)/3</f>
        <v>1637.948312970195</v>
      </c>
      <c r="D33" s="343">
        <f>('B8 Incidences '!D59+'B8 Incidences '!J59+'B8 Incidences '!P59)/3</f>
        <v>1666.9587011777905</v>
      </c>
      <c r="E33" s="153">
        <f t="shared" si="0"/>
        <v>29.010388207595497</v>
      </c>
      <c r="F33" s="385">
        <f>('B8 Incidences '!E59+'B8 Incidences '!K59+'B8 Incidences '!Q59)/3</f>
        <v>29.010388207595724</v>
      </c>
      <c r="G33" s="409">
        <v>93.25333333333333</v>
      </c>
    </row>
    <row r="34" spans="1:7" ht="13.8" x14ac:dyDescent="0.25">
      <c r="A34" s="96">
        <v>2292</v>
      </c>
      <c r="B34" s="97" t="s">
        <v>258</v>
      </c>
      <c r="C34" s="343">
        <f>('B8 Incidences '!C144+'B8 Incidences '!I144+'B8 Incidences '!O144)/3</f>
        <v>1626.8672006563593</v>
      </c>
      <c r="D34" s="343">
        <f>('B8 Incidences '!D144+'B8 Incidences '!J144+'B8 Incidences '!P144)/3</f>
        <v>1655.8985638575905</v>
      </c>
      <c r="E34" s="153">
        <f t="shared" si="0"/>
        <v>29.031363201231215</v>
      </c>
      <c r="F34" s="385">
        <f>('B8 Incidences '!E144+'B8 Incidences '!K144+'B8 Incidences '!Q144)/3</f>
        <v>29.03136320123129</v>
      </c>
      <c r="G34" s="409">
        <v>92.686666666666667</v>
      </c>
    </row>
    <row r="35" spans="1:7" ht="13.8" x14ac:dyDescent="0.25">
      <c r="A35" s="96">
        <v>2137</v>
      </c>
      <c r="B35" s="97" t="s">
        <v>118</v>
      </c>
      <c r="C35" s="343">
        <f>('B8 Incidences '!C68+'B8 Incidences '!I68+'B8 Incidences '!O68)/3</f>
        <v>1622.2871541104498</v>
      </c>
      <c r="D35" s="343">
        <f>('B8 Incidences '!D68+'B8 Incidences '!J68+'B8 Incidences '!P68)/3</f>
        <v>1651.5995878064043</v>
      </c>
      <c r="E35" s="153">
        <f t="shared" si="0"/>
        <v>29.312433695954496</v>
      </c>
      <c r="F35" s="385">
        <f>('B8 Incidences '!E68+'B8 Incidences '!K68+'B8 Incidences '!Q68)/3</f>
        <v>29.312433695954649</v>
      </c>
      <c r="G35" s="409">
        <v>92.313333333333333</v>
      </c>
    </row>
    <row r="36" spans="1:7" ht="13.8" x14ac:dyDescent="0.25">
      <c r="A36" s="96">
        <v>2040</v>
      </c>
      <c r="B36" s="97" t="s">
        <v>43</v>
      </c>
      <c r="C36" s="343">
        <f>('B8 Incidences '!C28+'B8 Incidences '!I28+'B8 Incidences '!O28)/3</f>
        <v>1618.7991931178083</v>
      </c>
      <c r="D36" s="343">
        <f>('B8 Incidences '!D28+'B8 Incidences '!J28+'B8 Incidences '!P28)/3</f>
        <v>1648.1996512423418</v>
      </c>
      <c r="E36" s="153">
        <f t="shared" si="0"/>
        <v>29.400458124533543</v>
      </c>
      <c r="F36" s="385">
        <f>('B8 Incidences '!E28+'B8 Incidences '!K28+'B8 Incidences '!Q28)/3</f>
        <v>29.400458124533468</v>
      </c>
      <c r="G36" s="409">
        <v>92.313333333333333</v>
      </c>
    </row>
    <row r="37" spans="1:7" ht="13.8" x14ac:dyDescent="0.25">
      <c r="A37" s="96">
        <v>2336</v>
      </c>
      <c r="B37" s="97" t="s">
        <v>306</v>
      </c>
      <c r="C37" s="343">
        <f>('B8 Incidences '!C168+'B8 Incidences '!I168+'B8 Incidences '!O168)/3</f>
        <v>1657.0584512393596</v>
      </c>
      <c r="D37" s="343">
        <f>('B8 Incidences '!D168+'B8 Incidences '!J168+'B8 Incidences '!P168)/3</f>
        <v>1686.5257945500673</v>
      </c>
      <c r="E37" s="153">
        <f t="shared" si="0"/>
        <v>29.467343310707747</v>
      </c>
      <c r="F37" s="385">
        <f>('B8 Incidences '!E168+'B8 Incidences '!K168+'B8 Incidences '!Q168)/3</f>
        <v>29.4673433107079</v>
      </c>
      <c r="G37" s="409">
        <v>94.316666666666663</v>
      </c>
    </row>
    <row r="38" spans="1:7" ht="13.8" x14ac:dyDescent="0.25">
      <c r="A38" s="96">
        <v>2129</v>
      </c>
      <c r="B38" s="97" t="s">
        <v>107</v>
      </c>
      <c r="C38" s="343">
        <f>('B8 Incidences '!C63+'B8 Incidences '!I63+'B8 Incidences '!O63)/3</f>
        <v>1659.8648953926811</v>
      </c>
      <c r="D38" s="343">
        <f>('B8 Incidences '!D63+'B8 Incidences '!J63+'B8 Incidences '!P63)/3</f>
        <v>1689.5088522973256</v>
      </c>
      <c r="E38" s="153">
        <f t="shared" si="0"/>
        <v>29.643956904644483</v>
      </c>
      <c r="F38" s="385">
        <f>('B8 Incidences '!E63+'B8 Incidences '!K63+'B8 Incidences '!Q63)/3</f>
        <v>29.64395690464433</v>
      </c>
      <c r="G38" s="409">
        <v>94.50333333333333</v>
      </c>
    </row>
    <row r="39" spans="1:7" ht="13.8" x14ac:dyDescent="0.25">
      <c r="A39" s="96">
        <v>2171</v>
      </c>
      <c r="B39" s="97" t="s">
        <v>142</v>
      </c>
      <c r="C39" s="343">
        <f>('B8 Incidences '!C82+'B8 Incidences '!I82+'B8 Incidences '!O82)/3</f>
        <v>1632.8774890068241</v>
      </c>
      <c r="D39" s="343">
        <f>('B8 Incidences '!D82+'B8 Incidences '!J82+'B8 Incidences '!P82)/3</f>
        <v>1662.5429287355671</v>
      </c>
      <c r="E39" s="153">
        <f t="shared" si="0"/>
        <v>29.665439728742967</v>
      </c>
      <c r="F39" s="385">
        <f>('B8 Incidences '!E82+'B8 Incidences '!K82+'B8 Incidences '!Q82)/3</f>
        <v>29.665439728742815</v>
      </c>
      <c r="G39" s="409">
        <v>93.02</v>
      </c>
    </row>
    <row r="40" spans="1:7" ht="13.8" x14ac:dyDescent="0.25">
      <c r="A40" s="96">
        <v>2134</v>
      </c>
      <c r="B40" s="97" t="s">
        <v>114</v>
      </c>
      <c r="C40" s="343">
        <f>('B8 Incidences '!C66+'B8 Incidences '!I66+'B8 Incidences '!O66)/3</f>
        <v>1664.375853322161</v>
      </c>
      <c r="D40" s="343">
        <f>('B8 Incidences '!D66+'B8 Incidences '!J66+'B8 Incidences '!P66)/3</f>
        <v>1694.3632918969586</v>
      </c>
      <c r="E40" s="153">
        <f t="shared" ref="E40:E71" si="1">D40-C40</f>
        <v>29.987438574797579</v>
      </c>
      <c r="F40" s="385">
        <f>('B8 Incidences '!E66+'B8 Incidences '!K66+'B8 Incidences '!Q66)/3</f>
        <v>29.987438574797579</v>
      </c>
      <c r="G40" s="409">
        <v>94.773333333333326</v>
      </c>
    </row>
    <row r="41" spans="1:7" ht="13.8" x14ac:dyDescent="0.25">
      <c r="A41" s="96">
        <v>2281</v>
      </c>
      <c r="B41" s="97" t="s">
        <v>253</v>
      </c>
      <c r="C41" s="343">
        <f>('B8 Incidences '!C141+'B8 Incidences '!I141+'B8 Incidences '!O141)/3</f>
        <v>1635.0213558935193</v>
      </c>
      <c r="D41" s="343">
        <f>('B8 Incidences '!D141+'B8 Incidences '!J141+'B8 Incidences '!P141)/3</f>
        <v>1665.181501111859</v>
      </c>
      <c r="E41" s="153">
        <f t="shared" si="1"/>
        <v>30.160145218339721</v>
      </c>
      <c r="F41" s="385">
        <f>('B8 Incidences '!E141+'B8 Incidences '!K141+'B8 Incidences '!Q141)/3</f>
        <v>30.160145218340023</v>
      </c>
      <c r="G41" s="409">
        <v>93.083333333333329</v>
      </c>
    </row>
    <row r="42" spans="1:7" ht="13.8" x14ac:dyDescent="0.25">
      <c r="A42" s="96">
        <v>2097</v>
      </c>
      <c r="B42" s="97" t="s">
        <v>78</v>
      </c>
      <c r="C42" s="343">
        <f>('B8 Incidences '!C49+'B8 Incidences '!I49+'B8 Incidences '!O49)/3</f>
        <v>1672.949614189095</v>
      </c>
      <c r="D42" s="343">
        <f>('B8 Incidences '!D49+'B8 Incidences '!J49+'B8 Incidences '!P49)/3</f>
        <v>1703.328220400839</v>
      </c>
      <c r="E42" s="153">
        <f t="shared" si="1"/>
        <v>30.378606211744</v>
      </c>
      <c r="F42" s="385">
        <f>('B8 Incidences '!E49+'B8 Incidences '!K49+'B8 Incidences '!Q49)/3</f>
        <v>30.378606211743772</v>
      </c>
      <c r="G42" s="409">
        <v>95.266666666666666</v>
      </c>
    </row>
    <row r="43" spans="1:7" ht="13.8" x14ac:dyDescent="0.25">
      <c r="A43" s="96">
        <v>2225</v>
      </c>
      <c r="B43" s="97" t="s">
        <v>196</v>
      </c>
      <c r="C43" s="343">
        <f>('B8 Incidences '!C110+'B8 Incidences '!I110+'B8 Incidences '!O110)/3</f>
        <v>1695.1708207845368</v>
      </c>
      <c r="D43" s="343">
        <f>('B8 Incidences '!D110+'B8 Incidences '!J110+'B8 Incidences '!P110)/3</f>
        <v>1725.7586668706765</v>
      </c>
      <c r="E43" s="153">
        <f t="shared" si="1"/>
        <v>30.587846086139734</v>
      </c>
      <c r="F43" s="385">
        <f>('B8 Incidences '!E110+'B8 Incidences '!K110+'B8 Incidences '!Q110)/3</f>
        <v>30.58784608613966</v>
      </c>
      <c r="G43" s="409">
        <v>96.566666666666677</v>
      </c>
    </row>
    <row r="44" spans="1:7" ht="13.8" x14ac:dyDescent="0.25">
      <c r="A44" s="96">
        <v>2089</v>
      </c>
      <c r="B44" s="97" t="s">
        <v>74</v>
      </c>
      <c r="C44" s="343">
        <f>('B8 Incidences '!C47+'B8 Incidences '!I47+'B8 Incidences '!O47)/3</f>
        <v>1618.2628155569589</v>
      </c>
      <c r="D44" s="343">
        <f>('B8 Incidences '!D47+'B8 Incidences '!J47+'B8 Incidences '!P47)/3</f>
        <v>1648.8828229138528</v>
      </c>
      <c r="E44" s="153">
        <f t="shared" si="1"/>
        <v>30.620007356893893</v>
      </c>
      <c r="F44" s="385">
        <f>('B8 Incidences '!E47+'B8 Incidences '!K47+'B8 Incidences '!Q47)/3</f>
        <v>30.620007356894046</v>
      </c>
      <c r="G44" s="409">
        <v>91.973333333333315</v>
      </c>
    </row>
    <row r="45" spans="1:7" ht="13.8" x14ac:dyDescent="0.25">
      <c r="A45" s="96">
        <v>2291</v>
      </c>
      <c r="B45" s="97" t="s">
        <v>385</v>
      </c>
      <c r="C45" s="343">
        <f>('B8 Incidences '!C143+'B8 Incidences '!I143+'B8 Incidences '!O143)/3</f>
        <v>1644.703544482192</v>
      </c>
      <c r="D45" s="343">
        <f>('B8 Incidences '!D143+'B8 Incidences '!J143+'B8 Incidences '!P143)/3</f>
        <v>1675.4390941805125</v>
      </c>
      <c r="E45" s="153">
        <f t="shared" si="1"/>
        <v>30.735549698320483</v>
      </c>
      <c r="F45" s="385">
        <f>('B8 Incidences '!E143+'B8 Incidences '!K143+'B8 Incidences '!Q143)/3</f>
        <v>30.735549698320483</v>
      </c>
      <c r="G45" s="409">
        <v>93.759999999999991</v>
      </c>
    </row>
    <row r="46" spans="1:7" ht="13.8" x14ac:dyDescent="0.25">
      <c r="A46" s="96">
        <v>2296</v>
      </c>
      <c r="B46" s="97" t="s">
        <v>266</v>
      </c>
      <c r="C46" s="343">
        <f>('B8 Incidences '!C148+'B8 Incidences '!I148+'B8 Incidences '!O148)/3</f>
        <v>1659.3511736743258</v>
      </c>
      <c r="D46" s="343">
        <f>('B8 Incidences '!D148+'B8 Incidences '!J148+'B8 Incidences '!P148)/3</f>
        <v>1690.1666548314843</v>
      </c>
      <c r="E46" s="153">
        <f t="shared" si="1"/>
        <v>30.815481157158501</v>
      </c>
      <c r="F46" s="385">
        <f>('B8 Incidences '!E148+'B8 Incidences '!K148+'B8 Incidences '!Q148)/3</f>
        <v>30.815481157158654</v>
      </c>
      <c r="G46" s="409">
        <v>94.563333333333333</v>
      </c>
    </row>
    <row r="47" spans="1:7" ht="13.8" x14ac:dyDescent="0.25">
      <c r="A47" s="96">
        <v>2115</v>
      </c>
      <c r="B47" s="97" t="s">
        <v>81</v>
      </c>
      <c r="C47" s="343">
        <f>('B8 Incidences '!C55+'B8 Incidences '!I55+'B8 Incidences '!O55)/3</f>
        <v>1666.8939954633327</v>
      </c>
      <c r="D47" s="343">
        <f>('B8 Incidences '!D55+'B8 Incidences '!J55+'B8 Incidences '!P55)/3</f>
        <v>1697.884658340399</v>
      </c>
      <c r="E47" s="153">
        <f t="shared" si="1"/>
        <v>30.99066287706637</v>
      </c>
      <c r="F47" s="385">
        <f>('B8 Incidences '!E55+'B8 Incidences '!K55+'B8 Incidences '!Q55)/3</f>
        <v>30.990662877066143</v>
      </c>
      <c r="G47" s="409">
        <v>94.896666666666661</v>
      </c>
    </row>
    <row r="48" spans="1:7" ht="13.8" x14ac:dyDescent="0.25">
      <c r="A48" s="96">
        <v>2185</v>
      </c>
      <c r="B48" s="97" t="s">
        <v>160</v>
      </c>
      <c r="C48" s="343">
        <f>('B8 Incidences '!C91+'B8 Incidences '!I91+'B8 Incidences '!O91)/3</f>
        <v>1694.4077980321983</v>
      </c>
      <c r="D48" s="343">
        <f>('B8 Incidences '!D91+'B8 Incidences '!J91+'B8 Incidences '!P91)/3</f>
        <v>1726.362646964945</v>
      </c>
      <c r="E48" s="153">
        <f t="shared" si="1"/>
        <v>31.9548489327467</v>
      </c>
      <c r="F48" s="385">
        <f>('B8 Incidences '!E91+'B8 Incidences '!K91+'B8 Incidences '!Q91)/3</f>
        <v>31.954848932746625</v>
      </c>
      <c r="G48" s="409">
        <v>96.383333333333326</v>
      </c>
    </row>
    <row r="49" spans="1:7" ht="13.8" x14ac:dyDescent="0.25">
      <c r="A49" s="96">
        <v>2293</v>
      </c>
      <c r="B49" s="97" t="s">
        <v>260</v>
      </c>
      <c r="C49" s="343">
        <f>('B8 Incidences '!C145+'B8 Incidences '!I145+'B8 Incidences '!O145)/3</f>
        <v>1669.5612190832192</v>
      </c>
      <c r="D49" s="343">
        <f>('B8 Incidences '!D145+'B8 Incidences '!J145+'B8 Incidences '!P145)/3</f>
        <v>1701.5540720453012</v>
      </c>
      <c r="E49" s="153">
        <f t="shared" si="1"/>
        <v>31.992852962081997</v>
      </c>
      <c r="F49" s="385">
        <f>('B8 Incidences '!E145+'B8 Incidences '!K145+'B8 Incidences '!Q145)/3</f>
        <v>31.99285296208215</v>
      </c>
      <c r="G49" s="409">
        <v>95.11333333333333</v>
      </c>
    </row>
    <row r="50" spans="1:7" ht="13.8" x14ac:dyDescent="0.25">
      <c r="A50" s="96">
        <v>2079</v>
      </c>
      <c r="B50" s="97" t="s">
        <v>68</v>
      </c>
      <c r="C50" s="343">
        <f>('B8 Incidences '!C44+'B8 Incidences '!I44+'B8 Incidences '!O44)/3</f>
        <v>1688.8588357371082</v>
      </c>
      <c r="D50" s="343">
        <f>('B8 Incidences '!D44+'B8 Incidences '!J44+'B8 Incidences '!P44)/3</f>
        <v>1720.896109047517</v>
      </c>
      <c r="E50" s="153">
        <f t="shared" si="1"/>
        <v>32.037273310408864</v>
      </c>
      <c r="F50" s="385">
        <f>('B8 Incidences '!E44+'B8 Incidences '!K44+'B8 Incidences '!Q44)/3</f>
        <v>32.037273310408942</v>
      </c>
      <c r="G50" s="409">
        <v>96.309999999999988</v>
      </c>
    </row>
    <row r="51" spans="1:7" s="107" customFormat="1" ht="13.8" x14ac:dyDescent="0.25">
      <c r="A51" s="96">
        <v>2272</v>
      </c>
      <c r="B51" s="97" t="s">
        <v>238</v>
      </c>
      <c r="C51" s="343">
        <f>('B8 Incidences '!C133+'B8 Incidences '!I133+'B8 Incidences '!O133)/3</f>
        <v>1696.2653636469013</v>
      </c>
      <c r="D51" s="343">
        <f>('B8 Incidences '!D133+'B8 Incidences '!J133+'B8 Incidences '!P133)/3</f>
        <v>1728.4742901208683</v>
      </c>
      <c r="E51" s="153">
        <f t="shared" si="1"/>
        <v>32.20892647396704</v>
      </c>
      <c r="F51" s="385">
        <f>('B8 Incidences '!E133+'B8 Incidences '!K133+'B8 Incidences '!Q133)/3</f>
        <v>32.208926473967118</v>
      </c>
      <c r="G51" s="409">
        <v>96.606666666666669</v>
      </c>
    </row>
    <row r="52" spans="1:7" ht="13.8" x14ac:dyDescent="0.25">
      <c r="A52" s="96">
        <v>2194</v>
      </c>
      <c r="B52" s="97" t="s">
        <v>167</v>
      </c>
      <c r="C52" s="343">
        <f>('B8 Incidences '!C95+'B8 Incidences '!I95+'B8 Incidences '!O95)/3</f>
        <v>1687.6110767533758</v>
      </c>
      <c r="D52" s="343">
        <f>('B8 Incidences '!D95+'B8 Incidences '!J95+'B8 Incidences '!P95)/3</f>
        <v>1719.9310559622652</v>
      </c>
      <c r="E52" s="153">
        <f t="shared" si="1"/>
        <v>32.319979208889436</v>
      </c>
      <c r="F52" s="385">
        <f>('B8 Incidences '!E95+'B8 Incidences '!K95+'B8 Incidences '!Q95)/3</f>
        <v>32.31997920888913</v>
      </c>
      <c r="G52" s="409">
        <v>96.053333333333327</v>
      </c>
    </row>
    <row r="53" spans="1:7" ht="13.8" x14ac:dyDescent="0.25">
      <c r="A53" s="96">
        <v>2277</v>
      </c>
      <c r="B53" s="97" t="s">
        <v>245</v>
      </c>
      <c r="C53" s="343">
        <f>('B8 Incidences '!C137+'B8 Incidences '!I137+'B8 Incidences '!O137)/3</f>
        <v>1636.0506118864032</v>
      </c>
      <c r="D53" s="343">
        <f>('B8 Incidences '!D137+'B8 Incidences '!J137+'B8 Incidences '!P137)/3</f>
        <v>1668.6070502179325</v>
      </c>
      <c r="E53" s="153">
        <f t="shared" si="1"/>
        <v>32.556438331529307</v>
      </c>
      <c r="F53" s="385">
        <f>('B8 Incidences '!E137+'B8 Incidences '!K137+'B8 Incidences '!Q137)/3</f>
        <v>32.556438331529534</v>
      </c>
      <c r="G53" s="409">
        <v>93.326666666666668</v>
      </c>
    </row>
    <row r="54" spans="1:7" ht="13.8" x14ac:dyDescent="0.25">
      <c r="A54" s="96">
        <v>2243</v>
      </c>
      <c r="B54" s="97" t="s">
        <v>382</v>
      </c>
      <c r="C54" s="343">
        <f>('B8 Incidences '!C118+'B8 Incidences '!I118+'B8 Incidences '!O118)/3</f>
        <v>1672.5495005412379</v>
      </c>
      <c r="D54" s="343">
        <f>('B8 Incidences '!D118+'B8 Incidences '!J118+'B8 Incidences '!P118)/3</f>
        <v>1705.4284657893138</v>
      </c>
      <c r="E54" s="153">
        <f t="shared" si="1"/>
        <v>32.878965248075929</v>
      </c>
      <c r="F54" s="385">
        <f>('B8 Incidences '!E118+'B8 Incidences '!K118+'B8 Incidences '!Q118)/3</f>
        <v>32.878965248075851</v>
      </c>
      <c r="G54" s="409">
        <v>95.25</v>
      </c>
    </row>
    <row r="55" spans="1:7" ht="13.8" x14ac:dyDescent="0.25">
      <c r="A55" s="96">
        <v>2173</v>
      </c>
      <c r="B55" s="97" t="s">
        <v>146</v>
      </c>
      <c r="C55" s="343">
        <f>('B8 Incidences '!C84+'B8 Incidences '!I84+'B8 Incidences '!O84)/3</f>
        <v>1689.5607602403818</v>
      </c>
      <c r="D55" s="343">
        <f>('B8 Incidences '!D84+'B8 Incidences '!J84+'B8 Incidences '!P84)/3</f>
        <v>1722.4769624170683</v>
      </c>
      <c r="E55" s="153">
        <f t="shared" si="1"/>
        <v>32.916202176686511</v>
      </c>
      <c r="F55" s="385">
        <f>('B8 Incidences '!E84+'B8 Incidences '!K84+'B8 Incidences '!Q84)/3</f>
        <v>32.916202176686362</v>
      </c>
      <c r="G55" s="409">
        <v>96.220000000000013</v>
      </c>
    </row>
    <row r="56" spans="1:7" ht="13.8" x14ac:dyDescent="0.25">
      <c r="A56" s="96">
        <v>2014</v>
      </c>
      <c r="B56" s="97" t="s">
        <v>14</v>
      </c>
      <c r="C56" s="343">
        <f>('B8 Incidences '!C15+'B8 Incidences '!I15+'B8 Incidences '!O15)/3</f>
        <v>1733.0407944162046</v>
      </c>
      <c r="D56" s="343">
        <f>('B8 Incidences '!D15+'B8 Incidences '!J15+'B8 Incidences '!P15)/3</f>
        <v>1766.311005934379</v>
      </c>
      <c r="E56" s="153">
        <f t="shared" si="1"/>
        <v>33.270211518174392</v>
      </c>
      <c r="F56" s="385">
        <f>('B8 Incidences '!E15+'B8 Incidences '!K15+'B8 Incidences '!Q15)/3</f>
        <v>33.27021151817447</v>
      </c>
      <c r="G56" s="409">
        <v>98.69</v>
      </c>
    </row>
    <row r="57" spans="1:7" ht="13.8" x14ac:dyDescent="0.25">
      <c r="A57" s="96">
        <v>2274</v>
      </c>
      <c r="B57" s="97" t="s">
        <v>240</v>
      </c>
      <c r="C57" s="343">
        <f>('B8 Incidences '!C134+'B8 Incidences '!I134+'B8 Incidences '!O134)/3</f>
        <v>1677.6745273241393</v>
      </c>
      <c r="D57" s="343">
        <f>('B8 Incidences '!D134+'B8 Incidences '!J134+'B8 Incidences '!P134)/3</f>
        <v>1711.0606482465964</v>
      </c>
      <c r="E57" s="153">
        <f t="shared" si="1"/>
        <v>33.386120922457167</v>
      </c>
      <c r="F57" s="385">
        <f>('B8 Incidences '!E134+'B8 Incidences '!K134+'B8 Incidences '!Q134)/3</f>
        <v>33.386120922457167</v>
      </c>
      <c r="G57" s="409">
        <v>95.473333333333343</v>
      </c>
    </row>
    <row r="58" spans="1:7" ht="13.8" x14ac:dyDescent="0.25">
      <c r="A58" s="96">
        <v>2047</v>
      </c>
      <c r="B58" s="97" t="s">
        <v>53</v>
      </c>
      <c r="C58" s="343">
        <f>('B8 Incidences '!C33+'B8 Incidences '!I33+'B8 Incidences '!O33)/3</f>
        <v>1720.9100299232789</v>
      </c>
      <c r="D58" s="343">
        <f>('B8 Incidences '!D33+'B8 Incidences '!J33+'B8 Incidences '!P33)/3</f>
        <v>1754.9157797286359</v>
      </c>
      <c r="E58" s="153">
        <f t="shared" si="1"/>
        <v>34.005749805357027</v>
      </c>
      <c r="F58" s="385">
        <f>('B8 Incidences '!E33+'B8 Incidences '!K33+'B8 Incidences '!Q33)/3</f>
        <v>34.005749805356949</v>
      </c>
      <c r="G58" s="409">
        <v>98.043333333333337</v>
      </c>
    </row>
    <row r="59" spans="1:7" ht="13.8" x14ac:dyDescent="0.25">
      <c r="A59" s="96">
        <v>2116</v>
      </c>
      <c r="B59" s="97" t="s">
        <v>307</v>
      </c>
      <c r="C59" s="343">
        <f>('B8 Incidences '!C56+'B8 Incidences '!I56+'B8 Incidences '!O56)/3</f>
        <v>1688.8489013402766</v>
      </c>
      <c r="D59" s="343">
        <f>('B8 Incidences '!D56+'B8 Incidences '!J56+'B8 Incidences '!P56)/3</f>
        <v>1723.2032957932968</v>
      </c>
      <c r="E59" s="153">
        <f t="shared" si="1"/>
        <v>34.354394453020177</v>
      </c>
      <c r="F59" s="385">
        <f>('B8 Incidences '!E56+'B8 Incidences '!K56+'B8 Incidences '!Q56)/3</f>
        <v>34.354394453020326</v>
      </c>
      <c r="G59" s="409">
        <v>96.293333333333337</v>
      </c>
    </row>
    <row r="60" spans="1:7" ht="13.8" x14ac:dyDescent="0.25">
      <c r="A60" s="96">
        <v>2122</v>
      </c>
      <c r="B60" s="97" t="s">
        <v>93</v>
      </c>
      <c r="C60" s="343">
        <f>('B8 Incidences '!C58+'B8 Incidences '!I58+'B8 Incidences '!O58)/3</f>
        <v>1694.4709815853403</v>
      </c>
      <c r="D60" s="343">
        <f>('B8 Incidences '!D58+'B8 Incidences '!J58+'B8 Incidences '!P58)/3</f>
        <v>1729.003940617602</v>
      </c>
      <c r="E60" s="153">
        <f t="shared" si="1"/>
        <v>34.532959032261715</v>
      </c>
      <c r="F60" s="385">
        <f>('B8 Incidences '!E58+'B8 Incidences '!K58+'B8 Incidences '!Q58)/3</f>
        <v>34.532959032261864</v>
      </c>
      <c r="G60" s="409">
        <v>96.40333333333335</v>
      </c>
    </row>
    <row r="61" spans="1:7" ht="13.8" x14ac:dyDescent="0.25">
      <c r="A61" s="96">
        <v>2153</v>
      </c>
      <c r="B61" s="97" t="s">
        <v>136</v>
      </c>
      <c r="C61" s="343">
        <f>('B8 Incidences '!C77+'B8 Incidences '!I77+'B8 Incidences '!O77)/3</f>
        <v>1711.1343994632809</v>
      </c>
      <c r="D61" s="343">
        <f>('B8 Incidences '!D77+'B8 Incidences '!J77+'B8 Incidences '!P77)/3</f>
        <v>1745.7459873448797</v>
      </c>
      <c r="E61" s="153">
        <f t="shared" si="1"/>
        <v>34.61158788159878</v>
      </c>
      <c r="F61" s="385">
        <f>('B8 Incidences '!E77+'B8 Incidences '!K77+'B8 Incidences '!Q77)/3</f>
        <v>34.611587881598631</v>
      </c>
      <c r="G61" s="409">
        <v>97.51</v>
      </c>
    </row>
    <row r="62" spans="1:7" ht="13.8" x14ac:dyDescent="0.25">
      <c r="A62" s="96">
        <v>2304</v>
      </c>
      <c r="B62" s="97" t="s">
        <v>280</v>
      </c>
      <c r="C62" s="343">
        <f>('B8 Incidences '!C155+'B8 Incidences '!I155+'B8 Incidences '!O155)/3</f>
        <v>1692.7879396689307</v>
      </c>
      <c r="D62" s="343">
        <f>('B8 Incidences '!D155+'B8 Incidences '!J155+'B8 Incidences '!P155)/3</f>
        <v>1727.4033407828892</v>
      </c>
      <c r="E62" s="153">
        <f t="shared" si="1"/>
        <v>34.615401113958569</v>
      </c>
      <c r="F62" s="385">
        <f>('B8 Incidences '!E155+'B8 Incidences '!K155+'B8 Incidences '!Q155)/3</f>
        <v>34.615401113958491</v>
      </c>
      <c r="G62" s="409">
        <v>96.470000000000013</v>
      </c>
    </row>
    <row r="63" spans="1:7" ht="13.8" x14ac:dyDescent="0.25">
      <c r="A63" s="96">
        <v>2009</v>
      </c>
      <c r="B63" s="97" t="s">
        <v>6</v>
      </c>
      <c r="C63" s="343">
        <f>('B8 Incidences '!C11+'B8 Incidences '!I11+'B8 Incidences '!O11)/3</f>
        <v>1687.4476046023183</v>
      </c>
      <c r="D63" s="343">
        <f>('B8 Incidences '!D11+'B8 Incidences '!J11+'B8 Incidences '!P11)/3</f>
        <v>1722.0878036037095</v>
      </c>
      <c r="E63" s="153">
        <f t="shared" si="1"/>
        <v>34.640199001391238</v>
      </c>
      <c r="F63" s="385">
        <f>('B8 Incidences '!E11+'B8 Incidences '!K11+'B8 Incidences '!Q11)/3</f>
        <v>34.640199001391387</v>
      </c>
      <c r="G63" s="409">
        <v>96.203333333333333</v>
      </c>
    </row>
    <row r="64" spans="1:7" ht="13.8" x14ac:dyDescent="0.25">
      <c r="A64" s="96">
        <v>2217</v>
      </c>
      <c r="B64" s="97" t="s">
        <v>188</v>
      </c>
      <c r="C64" s="343">
        <f>('B8 Incidences '!C105+'B8 Incidences '!I105+'B8 Incidences '!O105)/3</f>
        <v>1706.0007259904294</v>
      </c>
      <c r="D64" s="343">
        <f>('B8 Incidences '!D105+'B8 Incidences '!J105+'B8 Incidences '!P105)/3</f>
        <v>1740.6966950862579</v>
      </c>
      <c r="E64" s="153">
        <f t="shared" si="1"/>
        <v>34.695969095828559</v>
      </c>
      <c r="F64" s="385">
        <f>('B8 Incidences '!E105+'B8 Incidences '!K105+'B8 Incidences '!Q105)/3</f>
        <v>34.695969095828559</v>
      </c>
      <c r="G64" s="409">
        <v>97.066666666666663</v>
      </c>
    </row>
    <row r="65" spans="1:7" ht="13.8" x14ac:dyDescent="0.25">
      <c r="A65" s="96">
        <v>2066</v>
      </c>
      <c r="B65" s="97" t="s">
        <v>60</v>
      </c>
      <c r="C65" s="343">
        <f>('B8 Incidences '!C40+'B8 Incidences '!I40+'B8 Incidences '!O40)/3</f>
        <v>1711.3622684510108</v>
      </c>
      <c r="D65" s="343">
        <f>('B8 Incidences '!D40+'B8 Incidences '!J40+'B8 Incidences '!P40)/3</f>
        <v>1746.1364667287553</v>
      </c>
      <c r="E65" s="153">
        <f t="shared" si="1"/>
        <v>34.774198277744517</v>
      </c>
      <c r="F65" s="385">
        <f>('B8 Incidences '!E40+'B8 Incidences '!K40+'B8 Incidences '!Q40)/3</f>
        <v>34.774198277744745</v>
      </c>
      <c r="G65" s="409">
        <v>97.466666666666654</v>
      </c>
    </row>
    <row r="66" spans="1:7" ht="13.8" x14ac:dyDescent="0.25">
      <c r="A66" s="96">
        <v>2148</v>
      </c>
      <c r="B66" s="97" t="s">
        <v>130</v>
      </c>
      <c r="C66" s="343">
        <f>('B8 Incidences '!C74+'B8 Incidences '!I74+'B8 Incidences '!O74)/3</f>
        <v>1707.2604763978916</v>
      </c>
      <c r="D66" s="343">
        <f>('B8 Incidences '!D74+'B8 Incidences '!J74+'B8 Incidences '!P74)/3</f>
        <v>1742.1613770348624</v>
      </c>
      <c r="E66" s="153">
        <f t="shared" si="1"/>
        <v>34.900900636970846</v>
      </c>
      <c r="F66" s="385">
        <f>('B8 Incidences '!E74+'B8 Incidences '!K74+'B8 Incidences '!Q74)/3</f>
        <v>34.900900636970846</v>
      </c>
      <c r="G66" s="409">
        <v>97.226666666666674</v>
      </c>
    </row>
    <row r="67" spans="1:7" ht="13.8" x14ac:dyDescent="0.25">
      <c r="A67" s="96">
        <v>2044</v>
      </c>
      <c r="B67" s="97" t="s">
        <v>49</v>
      </c>
      <c r="C67" s="343">
        <f>('B8 Incidences '!C31+'B8 Incidences '!I31+'B8 Incidences '!O31)/3</f>
        <v>1695.9868926007421</v>
      </c>
      <c r="D67" s="343">
        <f>('B8 Incidences '!D31+'B8 Incidences '!J31+'B8 Incidences '!P31)/3</f>
        <v>1730.898384813029</v>
      </c>
      <c r="E67" s="153">
        <f t="shared" si="1"/>
        <v>34.91149221228693</v>
      </c>
      <c r="F67" s="385">
        <f>('B8 Incidences '!E31+'B8 Incidences '!K31+'B8 Incidences '!Q31)/3</f>
        <v>34.911492212287008</v>
      </c>
      <c r="G67" s="409">
        <v>96.676666666666677</v>
      </c>
    </row>
    <row r="68" spans="1:7" ht="13.8" x14ac:dyDescent="0.25">
      <c r="A68" s="96">
        <v>2294</v>
      </c>
      <c r="B68" s="97" t="s">
        <v>262</v>
      </c>
      <c r="C68" s="343">
        <f>('B8 Incidences '!C146+'B8 Incidences '!I146+'B8 Incidences '!O146)/3</f>
        <v>1701.927532543592</v>
      </c>
      <c r="D68" s="343">
        <f>('B8 Incidences '!D146+'B8 Incidences '!J146+'B8 Incidences '!P146)/3</f>
        <v>1736.8880454903156</v>
      </c>
      <c r="E68" s="153">
        <f t="shared" si="1"/>
        <v>34.960512946723611</v>
      </c>
      <c r="F68" s="385">
        <f>('B8 Incidences '!E146+'B8 Incidences '!K146+'B8 Incidences '!Q146)/3</f>
        <v>34.960512946723689</v>
      </c>
      <c r="G68" s="409">
        <v>96.946666666666658</v>
      </c>
    </row>
    <row r="69" spans="1:7" ht="13.8" x14ac:dyDescent="0.25">
      <c r="A69" s="96">
        <v>2276</v>
      </c>
      <c r="B69" s="97" t="s">
        <v>309</v>
      </c>
      <c r="C69" s="343">
        <f>('B8 Incidences '!C136+'B8 Incidences '!I136+'B8 Incidences '!O136)/3</f>
        <v>1714.1566542635617</v>
      </c>
      <c r="D69" s="343">
        <f>('B8 Incidences '!D136+'B8 Incidences '!J136+'B8 Incidences '!P136)/3</f>
        <v>1749.1906563544869</v>
      </c>
      <c r="E69" s="153">
        <f t="shared" si="1"/>
        <v>35.034002090925242</v>
      </c>
      <c r="F69" s="385">
        <f>('B8 Incidences '!E136+'B8 Incidences '!K136+'B8 Incidences '!Q136)/3</f>
        <v>35.034002090925092</v>
      </c>
      <c r="G69" s="409">
        <v>97.626666666666665</v>
      </c>
    </row>
    <row r="70" spans="1:7" ht="13.8" x14ac:dyDescent="0.25">
      <c r="A70" s="96">
        <v>2295</v>
      </c>
      <c r="B70" s="97" t="s">
        <v>264</v>
      </c>
      <c r="C70" s="343">
        <f>('B8 Incidences '!C147+'B8 Incidences '!I147+'B8 Incidences '!O147)/3</f>
        <v>1673.9552974838155</v>
      </c>
      <c r="D70" s="343">
        <f>('B8 Incidences '!D147+'B8 Incidences '!J147+'B8 Incidences '!P147)/3</f>
        <v>1709.1490949925512</v>
      </c>
      <c r="E70" s="153">
        <f t="shared" si="1"/>
        <v>35.19379750873577</v>
      </c>
      <c r="F70" s="385">
        <f>('B8 Incidences '!E147+'B8 Incidences '!K147+'B8 Incidences '!Q147)/3</f>
        <v>35.19379750873577</v>
      </c>
      <c r="G70" s="409">
        <v>95.493333333333339</v>
      </c>
    </row>
    <row r="71" spans="1:7" ht="13.8" x14ac:dyDescent="0.25">
      <c r="A71" s="96">
        <v>2260</v>
      </c>
      <c r="B71" s="97" t="s">
        <v>223</v>
      </c>
      <c r="C71" s="343">
        <f>('B8 Incidences '!C125+'B8 Incidences '!I125+'B8 Incidences '!O125)/3</f>
        <v>1681.9476057963129</v>
      </c>
      <c r="D71" s="343">
        <f>('B8 Incidences '!D125+'B8 Incidences '!J125+'B8 Incidences '!P125)/3</f>
        <v>1717.4850923722413</v>
      </c>
      <c r="E71" s="153">
        <f t="shared" si="1"/>
        <v>35.537486575928369</v>
      </c>
      <c r="F71" s="385">
        <f>('B8 Incidences '!E125+'B8 Incidences '!K125+'B8 Incidences '!Q125)/3</f>
        <v>35.537486575928675</v>
      </c>
      <c r="G71" s="409">
        <v>95.926666666666662</v>
      </c>
    </row>
    <row r="72" spans="1:7" ht="13.8" x14ac:dyDescent="0.25">
      <c r="A72" s="96">
        <v>2307</v>
      </c>
      <c r="B72" s="97" t="s">
        <v>286</v>
      </c>
      <c r="C72" s="343">
        <f>('B8 Incidences '!C158+'B8 Incidences '!I158+'B8 Incidences '!O158)/3</f>
        <v>1709.8333413362845</v>
      </c>
      <c r="D72" s="343">
        <f>('B8 Incidences '!D158+'B8 Incidences '!J158+'B8 Incidences '!P158)/3</f>
        <v>1745.8120494377811</v>
      </c>
      <c r="E72" s="153">
        <f t="shared" ref="E72:E103" si="2">D72-C72</f>
        <v>35.978708101496522</v>
      </c>
      <c r="F72" s="385">
        <f>('B8 Incidences '!E158+'B8 Incidences '!K158+'B8 Incidences '!Q158)/3</f>
        <v>35.978708101496373</v>
      </c>
      <c r="G72" s="409">
        <v>97.436666666666667</v>
      </c>
    </row>
    <row r="73" spans="1:7" ht="13.8" x14ac:dyDescent="0.25">
      <c r="A73" s="96">
        <v>2223</v>
      </c>
      <c r="B73" s="97" t="s">
        <v>194</v>
      </c>
      <c r="C73" s="343">
        <f>('B8 Incidences '!C109+'B8 Incidences '!I109+'B8 Incidences '!O109)/3</f>
        <v>1733.9694739393617</v>
      </c>
      <c r="D73" s="343">
        <f>('B8 Incidences '!D109+'B8 Incidences '!J109+'B8 Incidences '!P109)/3</f>
        <v>1769.9754922909494</v>
      </c>
      <c r="E73" s="153">
        <f t="shared" si="2"/>
        <v>36.006018351587727</v>
      </c>
      <c r="F73" s="385">
        <f>('B8 Incidences '!E109+'B8 Incidences '!K109+'B8 Incidences '!Q109)/3</f>
        <v>36.006018351587578</v>
      </c>
      <c r="G73" s="409">
        <v>98.75</v>
      </c>
    </row>
    <row r="74" spans="1:7" ht="13.8" x14ac:dyDescent="0.25">
      <c r="A74" s="96">
        <v>2072</v>
      </c>
      <c r="B74" s="97" t="s">
        <v>66</v>
      </c>
      <c r="C74" s="343">
        <f>('B8 Incidences '!C43+'B8 Incidences '!I43+'B8 Incidences '!O43)/3</f>
        <v>1695.1536004128684</v>
      </c>
      <c r="D74" s="343">
        <f>('B8 Incidences '!D43+'B8 Incidences '!J43+'B8 Incidences '!P43)/3</f>
        <v>1731.2021420453193</v>
      </c>
      <c r="E74" s="153">
        <f t="shared" si="2"/>
        <v>36.048541632450906</v>
      </c>
      <c r="F74" s="385">
        <f>('B8 Incidences '!E43+'B8 Incidences '!K43+'B8 Incidences '!Q43)/3</f>
        <v>36.048541632450984</v>
      </c>
      <c r="G74" s="409">
        <v>96.733333333333334</v>
      </c>
    </row>
    <row r="75" spans="1:7" ht="13.8" x14ac:dyDescent="0.25">
      <c r="A75" s="96">
        <v>2041</v>
      </c>
      <c r="B75" s="97" t="s">
        <v>45</v>
      </c>
      <c r="C75" s="343">
        <f>('B8 Incidences '!C29+'B8 Incidences '!I29+'B8 Incidences '!O29)/3</f>
        <v>1738.7011292749148</v>
      </c>
      <c r="D75" s="343">
        <f>('B8 Incidences '!D29+'B8 Incidences '!J29+'B8 Incidences '!P29)/3</f>
        <v>1774.8633181576852</v>
      </c>
      <c r="E75" s="153">
        <f t="shared" si="2"/>
        <v>36.162188882770351</v>
      </c>
      <c r="F75" s="385">
        <f>('B8 Incidences '!E29+'B8 Incidences '!K29+'B8 Incidences '!Q29)/3</f>
        <v>36.162188882770351</v>
      </c>
      <c r="G75" s="409">
        <v>99.050000000000011</v>
      </c>
    </row>
    <row r="76" spans="1:7" ht="13.8" x14ac:dyDescent="0.25">
      <c r="A76" s="96">
        <v>2086</v>
      </c>
      <c r="B76" s="97" t="s">
        <v>70</v>
      </c>
      <c r="C76" s="343">
        <f>('B8 Incidences '!C45+'B8 Incidences '!I45+'B8 Incidences '!O45)/3</f>
        <v>1675.940140669227</v>
      </c>
      <c r="D76" s="343">
        <f>('B8 Incidences '!D45+'B8 Incidences '!J45+'B8 Incidences '!P45)/3</f>
        <v>1712.1054705269851</v>
      </c>
      <c r="E76" s="153">
        <f t="shared" si="2"/>
        <v>36.165329857758024</v>
      </c>
      <c r="F76" s="385">
        <f>('B8 Incidences '!E45+'B8 Incidences '!K45+'B8 Incidences '!Q45)/3</f>
        <v>36.165329857757797</v>
      </c>
      <c r="G76" s="409">
        <v>95.643333333333331</v>
      </c>
    </row>
    <row r="77" spans="1:7" ht="13.8" x14ac:dyDescent="0.25">
      <c r="A77" s="96">
        <v>2279</v>
      </c>
      <c r="B77" s="97" t="s">
        <v>249</v>
      </c>
      <c r="C77" s="343">
        <f>('B8 Incidences '!C139+'B8 Incidences '!I139+'B8 Incidences '!O139)/3</f>
        <v>1732.3459348027948</v>
      </c>
      <c r="D77" s="343">
        <f>('B8 Incidences '!D139+'B8 Incidences '!J139+'B8 Incidences '!P139)/3</f>
        <v>1768.5499545002338</v>
      </c>
      <c r="E77" s="153">
        <f t="shared" si="2"/>
        <v>36.20401969743898</v>
      </c>
      <c r="F77" s="385">
        <f>('B8 Incidences '!E139+'B8 Incidences '!K139+'B8 Incidences '!Q139)/3</f>
        <v>36.204019697438753</v>
      </c>
      <c r="G77" s="409">
        <v>98.603333333333339</v>
      </c>
    </row>
    <row r="78" spans="1:7" ht="13.8" x14ac:dyDescent="0.25">
      <c r="A78" s="96">
        <v>2211</v>
      </c>
      <c r="B78" s="97" t="s">
        <v>182</v>
      </c>
      <c r="C78" s="343">
        <f>('B8 Incidences '!C102+'B8 Incidences '!I102+'B8 Incidences '!O102)/3</f>
        <v>1742.5024790391446</v>
      </c>
      <c r="D78" s="343">
        <f>('B8 Incidences '!D102+'B8 Incidences '!J102+'B8 Incidences '!P102)/3</f>
        <v>1778.9386945694105</v>
      </c>
      <c r="E78" s="153">
        <f t="shared" si="2"/>
        <v>36.436215530265827</v>
      </c>
      <c r="F78" s="385">
        <f>('B8 Incidences '!E102+'B8 Incidences '!K102+'B8 Incidences '!Q102)/3</f>
        <v>36.436215530265976</v>
      </c>
      <c r="G78" s="409">
        <v>99.21</v>
      </c>
    </row>
    <row r="79" spans="1:7" ht="13.8" x14ac:dyDescent="0.25">
      <c r="A79" s="96">
        <v>2216</v>
      </c>
      <c r="B79" s="97" t="s">
        <v>186</v>
      </c>
      <c r="C79" s="343">
        <f>('B8 Incidences '!C104+'B8 Incidences '!I104+'B8 Incidences '!O104)/3</f>
        <v>1700.0987704401932</v>
      </c>
      <c r="D79" s="343">
        <f>('B8 Incidences '!D104+'B8 Incidences '!J104+'B8 Incidences '!P104)/3</f>
        <v>1736.6628257245975</v>
      </c>
      <c r="E79" s="153">
        <f t="shared" si="2"/>
        <v>36.564055284404276</v>
      </c>
      <c r="F79" s="385">
        <f>('B8 Incidences '!E104+'B8 Incidences '!K104+'B8 Incidences '!Q104)/3</f>
        <v>36.564055284404425</v>
      </c>
      <c r="G79" s="409">
        <v>96.7</v>
      </c>
    </row>
    <row r="80" spans="1:7" ht="13.8" x14ac:dyDescent="0.25">
      <c r="A80" s="96">
        <v>2221</v>
      </c>
      <c r="B80" s="97" t="s">
        <v>191</v>
      </c>
      <c r="C80" s="343">
        <f>('B8 Incidences '!C107+'B8 Incidences '!I107+'B8 Incidences '!O107)/3</f>
        <v>1741.864335861382</v>
      </c>
      <c r="D80" s="343">
        <f>('B8 Incidences '!D107+'B8 Incidences '!J107+'B8 Incidences '!P107)/3</f>
        <v>1778.4833364985782</v>
      </c>
      <c r="E80" s="153">
        <f t="shared" si="2"/>
        <v>36.619000637196223</v>
      </c>
      <c r="F80" s="385">
        <f>('B8 Incidences '!E107+'B8 Incidences '!K107+'B8 Incidences '!Q107)/3</f>
        <v>36.619000637196145</v>
      </c>
      <c r="G80" s="409">
        <v>99.25</v>
      </c>
    </row>
    <row r="81" spans="1:7" s="107" customFormat="1" ht="13.8" x14ac:dyDescent="0.25">
      <c r="A81" s="96">
        <v>2172</v>
      </c>
      <c r="B81" s="97" t="s">
        <v>144</v>
      </c>
      <c r="C81" s="343">
        <f>('B8 Incidences '!C83+'B8 Incidences '!I83+'B8 Incidences '!O83)/3</f>
        <v>1725.6706851321753</v>
      </c>
      <c r="D81" s="343">
        <f>('B8 Incidences '!D83+'B8 Incidences '!J83+'B8 Incidences '!P83)/3</f>
        <v>1762.4680858397962</v>
      </c>
      <c r="E81" s="153">
        <f t="shared" si="2"/>
        <v>36.797400707620909</v>
      </c>
      <c r="F81" s="385">
        <f>('B8 Incidences '!E83+'B8 Incidences '!K83+'B8 Incidences '!Q83)/3</f>
        <v>36.797400707620987</v>
      </c>
      <c r="G81" s="409">
        <v>98.336666666666659</v>
      </c>
    </row>
    <row r="82" spans="1:7" ht="13.8" x14ac:dyDescent="0.25">
      <c r="A82" s="96">
        <v>2005</v>
      </c>
      <c r="B82" s="97" t="s">
        <v>3</v>
      </c>
      <c r="C82" s="343">
        <f>('B8 Incidences '!C9+'B8 Incidences '!I9+'B8 Incidences '!O9)/3</f>
        <v>1741.8641861280339</v>
      </c>
      <c r="D82" s="343">
        <f>('B8 Incidences '!D9+'B8 Incidences '!J9+'B8 Incidences '!P9)/3</f>
        <v>1778.8012895491102</v>
      </c>
      <c r="E82" s="153">
        <f t="shared" si="2"/>
        <v>36.937103421076245</v>
      </c>
      <c r="F82" s="385">
        <f>('B8 Incidences '!E9+'B8 Incidences '!K9+'B8 Incidences '!Q9)/3</f>
        <v>36.937103421076095</v>
      </c>
      <c r="G82" s="409">
        <v>99.2</v>
      </c>
    </row>
    <row r="83" spans="1:7" ht="13.8" x14ac:dyDescent="0.25">
      <c r="A83" s="96">
        <v>2283</v>
      </c>
      <c r="B83" s="97" t="s">
        <v>255</v>
      </c>
      <c r="C83" s="343">
        <f>('B8 Incidences '!C142+'B8 Incidences '!I142+'B8 Incidences '!O142)/3</f>
        <v>1704.8172432806048</v>
      </c>
      <c r="D83" s="343">
        <f>('B8 Incidences '!D142+'B8 Incidences '!J142+'B8 Incidences '!P142)/3</f>
        <v>1741.9344378194619</v>
      </c>
      <c r="E83" s="153">
        <f t="shared" si="2"/>
        <v>37.11719453885712</v>
      </c>
      <c r="F83" s="385">
        <f>('B8 Incidences '!E142+'B8 Incidences '!K142+'B8 Incidences '!Q142)/3</f>
        <v>37.117194538857198</v>
      </c>
      <c r="G83" s="409">
        <v>96.94</v>
      </c>
    </row>
    <row r="84" spans="1:7" ht="13.8" x14ac:dyDescent="0.25">
      <c r="A84" s="96">
        <v>2011</v>
      </c>
      <c r="B84" s="97" t="s">
        <v>10</v>
      </c>
      <c r="C84" s="343">
        <f>('B8 Incidences '!C13+'B8 Incidences '!I13+'B8 Incidences '!O13)/3</f>
        <v>1738.8186272952262</v>
      </c>
      <c r="D84" s="343">
        <f>('B8 Incidences '!D13+'B8 Incidences '!J13+'B8 Incidences '!P13)/3</f>
        <v>1775.946310542274</v>
      </c>
      <c r="E84" s="153">
        <f t="shared" si="2"/>
        <v>37.127683247047798</v>
      </c>
      <c r="F84" s="385">
        <f>('B8 Incidences '!E13+'B8 Incidences '!K13+'B8 Incidences '!Q13)/3</f>
        <v>37.127683247047649</v>
      </c>
      <c r="G84" s="409">
        <v>98.983333333333334</v>
      </c>
    </row>
    <row r="85" spans="1:7" ht="13.8" x14ac:dyDescent="0.25">
      <c r="A85" s="96">
        <v>2184</v>
      </c>
      <c r="B85" s="97" t="s">
        <v>158</v>
      </c>
      <c r="C85" s="343">
        <f>('B8 Incidences '!C90+'B8 Incidences '!I90+'B8 Incidences '!O90)/3</f>
        <v>1730.3812545168623</v>
      </c>
      <c r="D85" s="343">
        <f>('B8 Incidences '!D90+'B8 Incidences '!J90+'B8 Incidences '!P90)/3</f>
        <v>1767.865513928753</v>
      </c>
      <c r="E85" s="153">
        <f t="shared" si="2"/>
        <v>37.484259411890662</v>
      </c>
      <c r="F85" s="385">
        <f>('B8 Incidences '!E90+'B8 Incidences '!K90+'B8 Incidences '!Q90)/3</f>
        <v>37.48425941189074</v>
      </c>
      <c r="G85" s="409">
        <v>98.416666666666671</v>
      </c>
    </row>
    <row r="86" spans="1:7" ht="13.8" x14ac:dyDescent="0.25">
      <c r="A86" s="96">
        <v>2029</v>
      </c>
      <c r="B86" s="97" t="s">
        <v>30</v>
      </c>
      <c r="C86" s="343">
        <f>('B8 Incidences '!C22+'B8 Incidences '!I22+'B8 Incidences '!O22)/3</f>
        <v>1741.4167653834754</v>
      </c>
      <c r="D86" s="343">
        <f>('B8 Incidences '!D22+'B8 Incidences '!J22+'B8 Incidences '!P22)/3</f>
        <v>1779.0757905789994</v>
      </c>
      <c r="E86" s="153">
        <f t="shared" si="2"/>
        <v>37.659025195524009</v>
      </c>
      <c r="F86" s="385">
        <f>('B8 Incidences '!E22+'B8 Incidences '!K22+'B8 Incidences '!Q22)/3</f>
        <v>37.659025195524237</v>
      </c>
      <c r="G86" s="409">
        <v>99.14</v>
      </c>
    </row>
    <row r="87" spans="1:7" ht="13.8" x14ac:dyDescent="0.25">
      <c r="A87" s="96">
        <v>2280</v>
      </c>
      <c r="B87" s="97" t="s">
        <v>251</v>
      </c>
      <c r="C87" s="343">
        <f>('B8 Incidences '!C140+'B8 Incidences '!I140+'B8 Incidences '!O140)/3</f>
        <v>1736.7055531822459</v>
      </c>
      <c r="D87" s="343">
        <f>('B8 Incidences '!D140+'B8 Incidences '!J140+'B8 Incidences '!P140)/3</f>
        <v>1774.3933733698357</v>
      </c>
      <c r="E87" s="153">
        <f t="shared" si="2"/>
        <v>37.68782018758975</v>
      </c>
      <c r="F87" s="385">
        <f>('B8 Incidences '!E140+'B8 Incidences '!K140+'B8 Incidences '!Q140)/3</f>
        <v>37.687820187589899</v>
      </c>
      <c r="G87" s="409">
        <v>98.86</v>
      </c>
    </row>
    <row r="88" spans="1:7" ht="13.8" x14ac:dyDescent="0.25">
      <c r="A88" s="96">
        <v>2045</v>
      </c>
      <c r="B88" s="97" t="s">
        <v>51</v>
      </c>
      <c r="C88" s="343">
        <f>('B8 Incidences '!C32+'B8 Incidences '!I32+'B8 Incidences '!O32)/3</f>
        <v>1756.129201326851</v>
      </c>
      <c r="D88" s="343">
        <f>('B8 Incidences '!D32+'B8 Incidences '!J32+'B8 Incidences '!P32)/3</f>
        <v>1793.971396466108</v>
      </c>
      <c r="E88" s="153">
        <f t="shared" si="2"/>
        <v>37.842195139257001</v>
      </c>
      <c r="F88" s="385">
        <f>('B8 Incidences '!E32+'B8 Incidences '!K32+'B8 Incidences '!Q32)/3</f>
        <v>37.84219513925715</v>
      </c>
      <c r="G88" s="409">
        <v>99.92</v>
      </c>
    </row>
    <row r="89" spans="1:7" ht="13.8" x14ac:dyDescent="0.25">
      <c r="A89" s="96">
        <v>2262</v>
      </c>
      <c r="B89" s="97" t="s">
        <v>383</v>
      </c>
      <c r="C89" s="343">
        <f>('B8 Incidences '!C127+'B8 Incidences '!I127+'B8 Incidences '!O127)/3</f>
        <v>1739.9049901388587</v>
      </c>
      <c r="D89" s="343">
        <f>('B8 Incidences '!D127+'B8 Incidences '!J127+'B8 Incidences '!P127)/3</f>
        <v>1777.7497438990074</v>
      </c>
      <c r="E89" s="153">
        <f t="shared" si="2"/>
        <v>37.844753760148706</v>
      </c>
      <c r="F89" s="385">
        <f>('B8 Incidences '!E127+'B8 Incidences '!K127+'B8 Incidences '!Q127)/3</f>
        <v>37.844753760148784</v>
      </c>
      <c r="G89" s="409">
        <v>99.123333333333335</v>
      </c>
    </row>
    <row r="90" spans="1:7" ht="13.8" x14ac:dyDescent="0.25">
      <c r="A90" s="96">
        <v>2234</v>
      </c>
      <c r="B90" s="97" t="s">
        <v>206</v>
      </c>
      <c r="C90" s="343">
        <f>('B8 Incidences '!C116+'B8 Incidences '!I116+'B8 Incidences '!O116)/3</f>
        <v>1732.0378981572485</v>
      </c>
      <c r="D90" s="343">
        <f>('B8 Incidences '!D116+'B8 Incidences '!J116+'B8 Incidences '!P116)/3</f>
        <v>1769.9066894802338</v>
      </c>
      <c r="E90" s="153">
        <f t="shared" si="2"/>
        <v>37.868791322985317</v>
      </c>
      <c r="F90" s="385">
        <f>('B8 Incidences '!E116+'B8 Incidences '!K116+'B8 Incidences '!Q116)/3</f>
        <v>37.868791322985395</v>
      </c>
      <c r="G90" s="409">
        <v>98.553333333333342</v>
      </c>
    </row>
    <row r="91" spans="1:7" ht="13.8" x14ac:dyDescent="0.25">
      <c r="A91" s="96">
        <v>2306</v>
      </c>
      <c r="B91" s="97" t="s">
        <v>284</v>
      </c>
      <c r="C91" s="343">
        <f>('B8 Incidences '!C157+'B8 Incidences '!I157+'B8 Incidences '!O157)/3</f>
        <v>1759.0393802734372</v>
      </c>
      <c r="D91" s="343">
        <f>('B8 Incidences '!D157+'B8 Incidences '!J157+'B8 Incidences '!P157)/3</f>
        <v>1797.0718005856579</v>
      </c>
      <c r="E91" s="153">
        <f t="shared" si="2"/>
        <v>38.032420312220665</v>
      </c>
      <c r="F91" s="385">
        <f>('B8 Incidences '!E157+'B8 Incidences '!K157+'B8 Incidences '!Q157)/3</f>
        <v>38.032420312220438</v>
      </c>
      <c r="G91" s="409">
        <v>100.26333333333334</v>
      </c>
    </row>
    <row r="92" spans="1:7" ht="13.8" x14ac:dyDescent="0.25">
      <c r="A92" s="96">
        <v>2325</v>
      </c>
      <c r="B92" s="97" t="s">
        <v>296</v>
      </c>
      <c r="C92" s="343">
        <f>('B8 Incidences '!C164+'B8 Incidences '!I164+'B8 Incidences '!O164)/3</f>
        <v>1756.9279741220469</v>
      </c>
      <c r="D92" s="343">
        <f>('B8 Incidences '!D164+'B8 Incidences '!J164+'B8 Incidences '!P164)/3</f>
        <v>1795.0599868442987</v>
      </c>
      <c r="E92" s="153">
        <f t="shared" si="2"/>
        <v>38.132012722251829</v>
      </c>
      <c r="F92" s="385">
        <f>('B8 Incidences '!E164+'B8 Incidences '!K164+'B8 Incidences '!Q164)/3</f>
        <v>38.132012722251979</v>
      </c>
      <c r="G92" s="409">
        <v>100.03333333333335</v>
      </c>
    </row>
    <row r="93" spans="1:7" ht="13.8" x14ac:dyDescent="0.25">
      <c r="A93" s="96">
        <v>2309</v>
      </c>
      <c r="B93" s="97" t="s">
        <v>289</v>
      </c>
      <c r="C93" s="343">
        <f>('B8 Incidences '!C160+'B8 Incidences '!I160+'B8 Incidences '!O160)/3</f>
        <v>1732.2101358003431</v>
      </c>
      <c r="D93" s="343">
        <f>('B8 Incidences '!D160+'B8 Incidences '!J160+'B8 Incidences '!P160)/3</f>
        <v>1770.3672033101095</v>
      </c>
      <c r="E93" s="153">
        <f t="shared" si="2"/>
        <v>38.157067509766421</v>
      </c>
      <c r="F93" s="385">
        <f>('B8 Incidences '!E160+'B8 Incidences '!K160+'B8 Incidences '!Q160)/3</f>
        <v>38.15706750976657</v>
      </c>
      <c r="G93" s="409">
        <v>98.726666666666674</v>
      </c>
    </row>
    <row r="94" spans="1:7" ht="13.8" x14ac:dyDescent="0.25">
      <c r="A94" s="96">
        <v>2034</v>
      </c>
      <c r="B94" s="97" t="s">
        <v>35</v>
      </c>
      <c r="C94" s="343">
        <f>('B8 Incidences '!C24+'B8 Incidences '!I24+'B8 Incidences '!O24)/3</f>
        <v>1754.7157375609252</v>
      </c>
      <c r="D94" s="343">
        <f>('B8 Incidences '!D24+'B8 Incidences '!J24+'B8 Incidences '!P24)/3</f>
        <v>1792.9524535793332</v>
      </c>
      <c r="E94" s="153">
        <f t="shared" si="2"/>
        <v>38.23671601840806</v>
      </c>
      <c r="F94" s="385">
        <f>('B8 Incidences '!E24+'B8 Incidences '!K24+'B8 Incidences '!Q24)/3</f>
        <v>38.236716018407982</v>
      </c>
      <c r="G94" s="409">
        <v>99.90666666666668</v>
      </c>
    </row>
    <row r="95" spans="1:7" ht="13.8" x14ac:dyDescent="0.25">
      <c r="A95" s="96">
        <v>2147</v>
      </c>
      <c r="B95" s="97" t="s">
        <v>128</v>
      </c>
      <c r="C95" s="343">
        <f>('B8 Incidences '!C73+'B8 Incidences '!I73+'B8 Incidences '!O73)/3</f>
        <v>1747.7081044914864</v>
      </c>
      <c r="D95" s="343">
        <f>('B8 Incidences '!D73+'B8 Incidences '!J73+'B8 Incidences '!P73)/3</f>
        <v>1786.5182371337453</v>
      </c>
      <c r="E95" s="153">
        <f t="shared" si="2"/>
        <v>38.81013264225885</v>
      </c>
      <c r="F95" s="385">
        <f>('B8 Incidences '!E73+'B8 Incidences '!K73+'B8 Incidences '!Q73)/3</f>
        <v>38.810132642258999</v>
      </c>
      <c r="G95" s="409">
        <v>99.469999999999985</v>
      </c>
    </row>
    <row r="96" spans="1:7" ht="13.8" x14ac:dyDescent="0.25">
      <c r="A96" s="96">
        <v>2305</v>
      </c>
      <c r="B96" s="97" t="s">
        <v>282</v>
      </c>
      <c r="C96" s="343">
        <f>('B8 Incidences '!C156+'B8 Incidences '!I156+'B8 Incidences '!O156)/3</f>
        <v>1757.6609684188845</v>
      </c>
      <c r="D96" s="343">
        <f>('B8 Incidences '!D156+'B8 Incidences '!J156+'B8 Incidences '!P156)/3</f>
        <v>1796.5937167906659</v>
      </c>
      <c r="E96" s="153">
        <f t="shared" si="2"/>
        <v>38.932748371781372</v>
      </c>
      <c r="F96" s="385">
        <f>('B8 Incidences '!E156+'B8 Incidences '!K156+'B8 Incidences '!Q156)/3</f>
        <v>38.932748371781294</v>
      </c>
      <c r="G96" s="409">
        <v>100.13333333333333</v>
      </c>
    </row>
    <row r="97" spans="1:7" ht="13.8" x14ac:dyDescent="0.25">
      <c r="A97" s="96">
        <v>2135</v>
      </c>
      <c r="B97" s="97" t="s">
        <v>116</v>
      </c>
      <c r="C97" s="343">
        <f>('B8 Incidences '!C67+'B8 Incidences '!I67+'B8 Incidences '!O67)/3</f>
        <v>1785.1365417557142</v>
      </c>
      <c r="D97" s="343">
        <f>('B8 Incidences '!D67+'B8 Incidences '!J67+'B8 Incidences '!P67)/3</f>
        <v>1824.2759535267317</v>
      </c>
      <c r="E97" s="153">
        <f t="shared" si="2"/>
        <v>39.139411771017421</v>
      </c>
      <c r="F97" s="385">
        <f>('B8 Incidences '!E67+'B8 Incidences '!K67+'B8 Incidences '!Q67)/3</f>
        <v>39.139411771017421</v>
      </c>
      <c r="G97" s="409">
        <v>101.63999999999999</v>
      </c>
    </row>
    <row r="98" spans="1:7" ht="13.8" x14ac:dyDescent="0.25">
      <c r="A98" s="96">
        <v>2114</v>
      </c>
      <c r="B98" s="97" t="s">
        <v>90</v>
      </c>
      <c r="C98" s="343">
        <f>('B8 Incidences '!C54+'B8 Incidences '!I54+'B8 Incidences '!O54)/3</f>
        <v>1759.5908695873047</v>
      </c>
      <c r="D98" s="343">
        <f>('B8 Incidences '!D54+'B8 Incidences '!J54+'B8 Incidences '!P54)/3</f>
        <v>1798.986511306611</v>
      </c>
      <c r="E98" s="153">
        <f t="shared" si="2"/>
        <v>39.395641719306241</v>
      </c>
      <c r="F98" s="385">
        <f>('B8 Incidences '!E54+'B8 Incidences '!K54+'B8 Incidences '!Q54)/3</f>
        <v>39.395641719306241</v>
      </c>
      <c r="G98" s="409">
        <v>100.23333333333333</v>
      </c>
    </row>
    <row r="99" spans="1:7" ht="13.8" x14ac:dyDescent="0.25">
      <c r="A99" s="96">
        <v>2143</v>
      </c>
      <c r="B99" s="97" t="s">
        <v>124</v>
      </c>
      <c r="C99" s="343">
        <f>('B8 Incidences '!C71+'B8 Incidences '!I71+'B8 Incidences '!O71)/3</f>
        <v>1718.4993245299702</v>
      </c>
      <c r="D99" s="343">
        <f>('B8 Incidences '!D71+'B8 Incidences '!J71+'B8 Incidences '!P71)/3</f>
        <v>1758.0072288455351</v>
      </c>
      <c r="E99" s="153">
        <f t="shared" si="2"/>
        <v>39.507904315564929</v>
      </c>
      <c r="F99" s="385">
        <f>('B8 Incidences '!E71+'B8 Incidences '!K71+'B8 Incidences '!Q71)/3</f>
        <v>39.507904315565234</v>
      </c>
      <c r="G99" s="409">
        <v>97.733333333333334</v>
      </c>
    </row>
    <row r="100" spans="1:7" ht="13.8" x14ac:dyDescent="0.25">
      <c r="A100" s="96">
        <v>2067</v>
      </c>
      <c r="B100" s="97" t="s">
        <v>62</v>
      </c>
      <c r="C100" s="343">
        <f>('B8 Incidences '!C41+'B8 Incidences '!I41+'B8 Incidences '!O41)/3</f>
        <v>1770.8692349389837</v>
      </c>
      <c r="D100" s="343">
        <f>('B8 Incidences '!D41+'B8 Incidences '!J41+'B8 Incidences '!P41)/3</f>
        <v>1810.7079451417267</v>
      </c>
      <c r="E100" s="153">
        <f t="shared" si="2"/>
        <v>39.838710202742959</v>
      </c>
      <c r="F100" s="385">
        <f>('B8 Incidences '!E41+'B8 Incidences '!K41+'B8 Incidences '!Q41)/3</f>
        <v>39.838710202743037</v>
      </c>
      <c r="G100" s="409">
        <v>100.85000000000001</v>
      </c>
    </row>
    <row r="101" spans="1:7" ht="13.8" x14ac:dyDescent="0.25">
      <c r="A101" s="96">
        <v>2198</v>
      </c>
      <c r="B101" s="97" t="s">
        <v>173</v>
      </c>
      <c r="C101" s="343">
        <f>('B8 Incidences '!C98+'B8 Incidences '!I98+'B8 Incidences '!O98)/3</f>
        <v>1804.6244123523441</v>
      </c>
      <c r="D101" s="343">
        <f>('B8 Incidences '!D98+'B8 Incidences '!J98+'B8 Incidences '!P98)/3</f>
        <v>1844.6280755446141</v>
      </c>
      <c r="E101" s="153">
        <f t="shared" si="2"/>
        <v>40.003663192270096</v>
      </c>
      <c r="F101" s="385">
        <f>('B8 Incidences '!E98+'B8 Incidences '!K98+'B8 Incidences '!Q98)/3</f>
        <v>40.003663192270096</v>
      </c>
      <c r="G101" s="409">
        <v>102.8</v>
      </c>
    </row>
    <row r="102" spans="1:7" ht="13.8" x14ac:dyDescent="0.25">
      <c r="A102" s="96">
        <v>2230</v>
      </c>
      <c r="B102" s="97" t="s">
        <v>202</v>
      </c>
      <c r="C102" s="343">
        <f>('B8 Incidences '!C113+'B8 Incidences '!I113+'B8 Incidences '!O113)/3</f>
        <v>1718.6299538717703</v>
      </c>
      <c r="D102" s="343">
        <f>('B8 Incidences '!D113+'B8 Incidences '!J113+'B8 Incidences '!P113)/3</f>
        <v>1758.6558084793414</v>
      </c>
      <c r="E102" s="153">
        <f t="shared" si="2"/>
        <v>40.025854607571091</v>
      </c>
      <c r="F102" s="385">
        <f>('B8 Incidences '!E113+'B8 Incidences '!K113+'B8 Incidences '!Q113)/3</f>
        <v>40.02585460757124</v>
      </c>
      <c r="G102" s="409">
        <v>98.036666666666676</v>
      </c>
    </row>
    <row r="103" spans="1:7" ht="13.8" x14ac:dyDescent="0.25">
      <c r="A103" s="96">
        <v>2025</v>
      </c>
      <c r="B103" s="97" t="s">
        <v>26</v>
      </c>
      <c r="C103" s="343">
        <f>('B8 Incidences '!C20+'B8 Incidences '!I20+'B8 Incidences '!O20)/3</f>
        <v>1787.3314480253148</v>
      </c>
      <c r="D103" s="343">
        <f>('B8 Incidences '!D20+'B8 Incidences '!J20+'B8 Incidences '!P20)/3</f>
        <v>1827.6365039347004</v>
      </c>
      <c r="E103" s="153">
        <f t="shared" si="2"/>
        <v>40.305055909385601</v>
      </c>
      <c r="F103" s="385">
        <f>('B8 Incidences '!E20+'B8 Incidences '!K20+'B8 Incidences '!Q20)/3</f>
        <v>40.305055909385828</v>
      </c>
      <c r="G103" s="409">
        <v>101.74666666666667</v>
      </c>
    </row>
    <row r="104" spans="1:7" ht="13.8" x14ac:dyDescent="0.25">
      <c r="A104" s="96">
        <v>2177</v>
      </c>
      <c r="B104" s="97" t="s">
        <v>152</v>
      </c>
      <c r="C104" s="343">
        <f>('B8 Incidences '!C87+'B8 Incidences '!I87+'B8 Incidences '!O87)/3</f>
        <v>1784.4861657808999</v>
      </c>
      <c r="D104" s="343">
        <f>('B8 Incidences '!D87+'B8 Incidences '!J87+'B8 Incidences '!P87)/3</f>
        <v>1825.2243204647755</v>
      </c>
      <c r="E104" s="153">
        <f t="shared" ref="E104:E135" si="3">D104-C104</f>
        <v>40.738154683875564</v>
      </c>
      <c r="F104" s="385">
        <f>('B8 Incidences '!E87+'B8 Incidences '!K87+'B8 Incidences '!Q87)/3</f>
        <v>40.738154683875486</v>
      </c>
      <c r="G104" s="409">
        <v>101.62666666666667</v>
      </c>
    </row>
    <row r="105" spans="1:7" ht="13.8" x14ac:dyDescent="0.25">
      <c r="A105" s="96">
        <v>2197</v>
      </c>
      <c r="B105" s="97" t="s">
        <v>171</v>
      </c>
      <c r="C105" s="343">
        <f>('B8 Incidences '!C97+'B8 Incidences '!I97+'B8 Incidences '!O97)/3</f>
        <v>1772.820447003849</v>
      </c>
      <c r="D105" s="343">
        <f>('B8 Incidences '!D97+'B8 Incidences '!J97+'B8 Incidences '!P97)/3</f>
        <v>1813.6469768708346</v>
      </c>
      <c r="E105" s="153">
        <f t="shared" si="3"/>
        <v>40.826529866985538</v>
      </c>
      <c r="F105" s="385">
        <f>('B8 Incidences '!E97+'B8 Incidences '!K97+'B8 Incidences '!Q97)/3</f>
        <v>40.826529866985844</v>
      </c>
      <c r="G105" s="409">
        <v>100.98666666666668</v>
      </c>
    </row>
    <row r="106" spans="1:7" ht="13.8" x14ac:dyDescent="0.25">
      <c r="A106" s="96">
        <v>2155</v>
      </c>
      <c r="B106" s="97" t="s">
        <v>138</v>
      </c>
      <c r="C106" s="343">
        <f>('B8 Incidences '!C78+'B8 Incidences '!I78+'B8 Incidences '!O78)/3</f>
        <v>1766.5878577505152</v>
      </c>
      <c r="D106" s="343">
        <f>('B8 Incidences '!D78+'B8 Incidences '!J78+'B8 Incidences '!P78)/3</f>
        <v>1807.6758328177527</v>
      </c>
      <c r="E106" s="153">
        <f t="shared" si="3"/>
        <v>41.087975067237494</v>
      </c>
      <c r="F106" s="385">
        <f>('B8 Incidences '!E78+'B8 Incidences '!K78+'B8 Incidences '!Q78)/3</f>
        <v>41.087975067237572</v>
      </c>
      <c r="G106" s="409">
        <v>100.55</v>
      </c>
    </row>
    <row r="107" spans="1:7" ht="13.8" x14ac:dyDescent="0.25">
      <c r="A107" s="96">
        <v>2111</v>
      </c>
      <c r="B107" s="97" t="s">
        <v>85</v>
      </c>
      <c r="C107" s="343">
        <f>('B8 Incidences '!C52+'B8 Incidences '!I52+'B8 Incidences '!O52)/3</f>
        <v>1810.3615003878101</v>
      </c>
      <c r="D107" s="343">
        <f>('B8 Incidences '!D52+'B8 Incidences '!J52+'B8 Incidences '!P52)/3</f>
        <v>1851.511150474711</v>
      </c>
      <c r="E107" s="153">
        <f t="shared" si="3"/>
        <v>41.14965008690092</v>
      </c>
      <c r="F107" s="385">
        <f>('B8 Incidences '!E52+'B8 Incidences '!K52+'B8 Incidences '!Q52)/3</f>
        <v>41.149650086900841</v>
      </c>
      <c r="G107" s="409">
        <v>103.18333333333334</v>
      </c>
    </row>
    <row r="108" spans="1:7" ht="13.8" x14ac:dyDescent="0.25">
      <c r="A108" s="96">
        <v>2189</v>
      </c>
      <c r="B108" s="97" t="s">
        <v>164</v>
      </c>
      <c r="C108" s="343">
        <f>('B8 Incidences '!C93+'B8 Incidences '!I93+'B8 Incidences '!O93)/3</f>
        <v>1781.3615737942634</v>
      </c>
      <c r="D108" s="343">
        <f>('B8 Incidences '!D93+'B8 Incidences '!J93+'B8 Incidences '!P93)/3</f>
        <v>1822.5552226241716</v>
      </c>
      <c r="E108" s="153">
        <f t="shared" si="3"/>
        <v>41.19364882990817</v>
      </c>
      <c r="F108" s="385">
        <f>('B8 Incidences '!E93+'B8 Incidences '!K93+'B8 Incidences '!Q93)/3</f>
        <v>41.19364882990817</v>
      </c>
      <c r="G108" s="409">
        <v>101.47666666666667</v>
      </c>
    </row>
    <row r="109" spans="1:7" ht="13.8" x14ac:dyDescent="0.25">
      <c r="A109" s="96">
        <v>2233</v>
      </c>
      <c r="B109" s="97" t="s">
        <v>205</v>
      </c>
      <c r="C109" s="343">
        <f>('B8 Incidences '!C115+'B8 Incidences '!I115+'B8 Incidences '!O115)/3</f>
        <v>1782.0254428761707</v>
      </c>
      <c r="D109" s="343">
        <f>('B8 Incidences '!D115+'B8 Incidences '!J115+'B8 Incidences '!P115)/3</f>
        <v>1823.2313131298215</v>
      </c>
      <c r="E109" s="153">
        <f t="shared" si="3"/>
        <v>41.205870253650801</v>
      </c>
      <c r="F109" s="385">
        <f>('B8 Incidences '!E115+'B8 Incidences '!K115+'B8 Incidences '!Q115)/3</f>
        <v>41.205870253650801</v>
      </c>
      <c r="G109" s="409">
        <v>101.41666666666667</v>
      </c>
    </row>
    <row r="110" spans="1:7" ht="13.8" x14ac:dyDescent="0.25">
      <c r="A110" s="96">
        <v>2220</v>
      </c>
      <c r="B110" s="97" t="s">
        <v>189</v>
      </c>
      <c r="C110" s="343">
        <f>('B8 Incidences '!C106+'B8 Incidences '!I106+'B8 Incidences '!O106)/3</f>
        <v>1780.8313937463654</v>
      </c>
      <c r="D110" s="343">
        <f>('B8 Incidences '!D106+'B8 Incidences '!J106+'B8 Incidences '!P106)/3</f>
        <v>1822.0383047920604</v>
      </c>
      <c r="E110" s="153">
        <f t="shared" si="3"/>
        <v>41.206911045695051</v>
      </c>
      <c r="F110" s="385">
        <f>('B8 Incidences '!E106+'B8 Incidences '!K106+'B8 Incidences '!Q106)/3</f>
        <v>41.206911045695357</v>
      </c>
      <c r="G110" s="409">
        <v>101.43333333333334</v>
      </c>
    </row>
    <row r="111" spans="1:7" ht="13.8" x14ac:dyDescent="0.25">
      <c r="A111" s="96">
        <v>2250</v>
      </c>
      <c r="B111" s="97" t="s">
        <v>211</v>
      </c>
      <c r="C111" s="343">
        <f>('B8 Incidences '!C119+'B8 Incidences '!I119+'B8 Incidences '!O119)/3</f>
        <v>1788.6984694763917</v>
      </c>
      <c r="D111" s="343">
        <f>('B8 Incidences '!D119+'B8 Incidences '!J119+'B8 Incidences '!P119)/3</f>
        <v>1829.9102652514232</v>
      </c>
      <c r="E111" s="153">
        <f t="shared" si="3"/>
        <v>41.211795775031533</v>
      </c>
      <c r="F111" s="385">
        <f>('B8 Incidences '!E119+'B8 Incidences '!K119+'B8 Incidences '!Q119)/3</f>
        <v>41.211795775031455</v>
      </c>
      <c r="G111" s="409">
        <v>101.84666666666668</v>
      </c>
    </row>
    <row r="112" spans="1:7" ht="13.8" x14ac:dyDescent="0.25">
      <c r="A112" s="96">
        <v>2149</v>
      </c>
      <c r="B112" s="97" t="s">
        <v>132</v>
      </c>
      <c r="C112" s="343">
        <f>('B8 Incidences '!C75+'B8 Incidences '!I75+'B8 Incidences '!O75)/3</f>
        <v>1759.2951181063756</v>
      </c>
      <c r="D112" s="343">
        <f>('B8 Incidences '!D75+'B8 Incidences '!J75+'B8 Incidences '!P75)/3</f>
        <v>1800.5223151518815</v>
      </c>
      <c r="E112" s="153">
        <f t="shared" si="3"/>
        <v>41.227197045505818</v>
      </c>
      <c r="F112" s="385">
        <f>('B8 Incidences '!E75+'B8 Incidences '!K75+'B8 Incidences '!Q75)/3</f>
        <v>41.227197045505967</v>
      </c>
      <c r="G112" s="409">
        <v>100.33333333333333</v>
      </c>
    </row>
    <row r="113" spans="1:9" ht="13.8" x14ac:dyDescent="0.25">
      <c r="A113" s="96">
        <v>2061</v>
      </c>
      <c r="B113" s="97" t="s">
        <v>57</v>
      </c>
      <c r="C113" s="343">
        <f>('B8 Incidences '!C38+'B8 Incidences '!I38+'B8 Incidences '!O38)/3</f>
        <v>1743.2479278505532</v>
      </c>
      <c r="D113" s="343">
        <f>('B8 Incidences '!D38+'B8 Incidences '!J38+'B8 Incidences '!P38)/3</f>
        <v>1784.4792888343234</v>
      </c>
      <c r="E113" s="153">
        <f t="shared" si="3"/>
        <v>41.231360983770173</v>
      </c>
      <c r="F113" s="385">
        <f>('B8 Incidences '!E38+'B8 Incidences '!K38+'B8 Incidences '!Q38)/3</f>
        <v>41.231360983769868</v>
      </c>
      <c r="G113" s="409">
        <v>99.096666666666678</v>
      </c>
    </row>
    <row r="114" spans="1:9" ht="13.8" x14ac:dyDescent="0.25">
      <c r="A114" s="96">
        <v>2131</v>
      </c>
      <c r="B114" s="97" t="s">
        <v>111</v>
      </c>
      <c r="C114" s="343">
        <f>('B8 Incidences '!C65+'B8 Incidences '!I65+'B8 Incidences '!O65)/3</f>
        <v>1780.5004692957143</v>
      </c>
      <c r="D114" s="343">
        <f>('B8 Incidences '!D65+'B8 Incidences '!J65+'B8 Incidences '!P65)/3</f>
        <v>1821.9305163226318</v>
      </c>
      <c r="E114" s="153">
        <f t="shared" si="3"/>
        <v>41.430047026917464</v>
      </c>
      <c r="F114" s="385">
        <f>('B8 Incidences '!E65+'B8 Incidences '!K65+'B8 Incidences '!Q65)/3</f>
        <v>41.430047026917769</v>
      </c>
      <c r="G114" s="409">
        <v>101.28000000000002</v>
      </c>
    </row>
    <row r="115" spans="1:9" ht="13.8" x14ac:dyDescent="0.25">
      <c r="A115" s="96">
        <v>2206</v>
      </c>
      <c r="B115" s="97" t="s">
        <v>178</v>
      </c>
      <c r="C115" s="343">
        <f>('B8 Incidences '!C100+'B8 Incidences '!I100+'B8 Incidences '!O100)/3</f>
        <v>1781.6043381783727</v>
      </c>
      <c r="D115" s="343">
        <f>('B8 Incidences '!D100+'B8 Incidences '!J100+'B8 Incidences '!P100)/3</f>
        <v>1823.1189169459601</v>
      </c>
      <c r="E115" s="153">
        <f t="shared" si="3"/>
        <v>41.514578767587409</v>
      </c>
      <c r="F115" s="385">
        <f>('B8 Incidences '!E100+'B8 Incidences '!K100+'B8 Incidences '!Q100)/3</f>
        <v>41.514578767587409</v>
      </c>
      <c r="G115" s="409">
        <v>101.5</v>
      </c>
    </row>
    <row r="116" spans="1:9" ht="13.8" x14ac:dyDescent="0.25">
      <c r="A116" s="96">
        <v>2183</v>
      </c>
      <c r="B116" s="97" t="s">
        <v>156</v>
      </c>
      <c r="C116" s="343">
        <f>('B8 Incidences '!C89+'B8 Incidences '!I89+'B8 Incidences '!O89)/3</f>
        <v>1773.9434197420221</v>
      </c>
      <c r="D116" s="343">
        <f>('B8 Incidences '!D89+'B8 Incidences '!J89+'B8 Incidences '!P89)/3</f>
        <v>1815.7517448556507</v>
      </c>
      <c r="E116" s="153">
        <f t="shared" si="3"/>
        <v>41.808325113628598</v>
      </c>
      <c r="F116" s="385">
        <f>('B8 Incidences '!E89+'B8 Incidences '!K89+'B8 Incidences '!Q89)/3</f>
        <v>41.808325113628371</v>
      </c>
      <c r="G116" s="409">
        <v>100.97333333333331</v>
      </c>
    </row>
    <row r="117" spans="1:9" ht="13.8" x14ac:dyDescent="0.25">
      <c r="A117" s="96">
        <v>2124</v>
      </c>
      <c r="B117" s="97" t="s">
        <v>97</v>
      </c>
      <c r="C117" s="343">
        <f>('B8 Incidences '!C60+'B8 Incidences '!I60+'B8 Incidences '!O60)/3</f>
        <v>1801.9393661795129</v>
      </c>
      <c r="D117" s="343">
        <f>('B8 Incidences '!D60+'B8 Incidences '!J60+'B8 Incidences '!P60)/3</f>
        <v>1843.787275502362</v>
      </c>
      <c r="E117" s="153">
        <f t="shared" si="3"/>
        <v>41.847909322849091</v>
      </c>
      <c r="F117" s="385">
        <f>('B8 Incidences '!E60+'B8 Incidences '!K60+'B8 Incidences '!Q60)/3</f>
        <v>41.847909322849091</v>
      </c>
      <c r="G117" s="409">
        <v>102.60666666666667</v>
      </c>
    </row>
    <row r="118" spans="1:9" ht="13.8" x14ac:dyDescent="0.25">
      <c r="A118" s="96">
        <v>2175</v>
      </c>
      <c r="B118" s="97" t="s">
        <v>150</v>
      </c>
      <c r="C118" s="343">
        <f>('B8 Incidences '!C86+'B8 Incidences '!I86+'B8 Incidences '!O86)/3</f>
        <v>1803.6233099786216</v>
      </c>
      <c r="D118" s="343">
        <f>('B8 Incidences '!D86+'B8 Incidences '!J86+'B8 Incidences '!P86)/3</f>
        <v>1845.5587565682256</v>
      </c>
      <c r="E118" s="153">
        <f t="shared" si="3"/>
        <v>41.935446589603998</v>
      </c>
      <c r="F118" s="385">
        <f>('B8 Incidences '!E86+'B8 Incidences '!K86+'B8 Incidences '!Q86)/3</f>
        <v>41.935446589603998</v>
      </c>
      <c r="G118" s="409">
        <v>102.70333333333333</v>
      </c>
    </row>
    <row r="119" spans="1:9" ht="13.8" x14ac:dyDescent="0.25">
      <c r="A119" s="96">
        <v>2213</v>
      </c>
      <c r="B119" s="97" t="s">
        <v>184</v>
      </c>
      <c r="C119" s="343">
        <f>('B8 Incidences '!C103+'B8 Incidences '!I103+'B8 Incidences '!O103)/3</f>
        <v>1802.9693776998349</v>
      </c>
      <c r="D119" s="343">
        <f>('B8 Incidences '!D103+'B8 Incidences '!J103+'B8 Incidences '!P103)/3</f>
        <v>1845.0168765045444</v>
      </c>
      <c r="E119" s="153">
        <f t="shared" si="3"/>
        <v>42.047498804709448</v>
      </c>
      <c r="F119" s="385">
        <f>('B8 Incidences '!E103+'B8 Incidences '!K103+'B8 Incidences '!Q103)/3</f>
        <v>42.047498804709072</v>
      </c>
      <c r="G119" s="409">
        <v>102.67</v>
      </c>
    </row>
    <row r="120" spans="1:9" ht="13.8" x14ac:dyDescent="0.25">
      <c r="A120" s="96">
        <v>2270</v>
      </c>
      <c r="B120" s="97" t="s">
        <v>234</v>
      </c>
      <c r="C120" s="343">
        <f>('B8 Incidences '!C131+'B8 Incidences '!I131+'B8 Incidences '!O131)/3</f>
        <v>1771.728639044409</v>
      </c>
      <c r="D120" s="343">
        <f>('B8 Incidences '!D131+'B8 Incidences '!J131+'B8 Incidences '!P131)/3</f>
        <v>1813.7858957948883</v>
      </c>
      <c r="E120" s="153">
        <f t="shared" si="3"/>
        <v>42.057256750479382</v>
      </c>
      <c r="F120" s="385">
        <f>('B8 Incidences '!E131+'B8 Incidences '!K131+'B8 Incidences '!Q131)/3</f>
        <v>42.057256750479461</v>
      </c>
      <c r="G120" s="409">
        <v>100.86000000000001</v>
      </c>
    </row>
    <row r="121" spans="1:9" ht="13.8" x14ac:dyDescent="0.25">
      <c r="A121" s="99">
        <v>2338</v>
      </c>
      <c r="B121" s="99" t="s">
        <v>297</v>
      </c>
      <c r="C121" s="343">
        <f>('B8 Incidences '!C170+'B8 Incidences '!I170+'B8 Incidences '!O170)/3</f>
        <v>1792.1739301344762</v>
      </c>
      <c r="D121" s="343">
        <f>('B8 Incidences '!D170+'B8 Incidences '!J170+'B8 Incidences '!P170)/3</f>
        <v>1834.3941325133462</v>
      </c>
      <c r="E121" s="153">
        <f t="shared" si="3"/>
        <v>42.220202378869999</v>
      </c>
      <c r="F121" s="385">
        <f>('B8 Incidences '!E170+'B8 Incidences '!K170+'B8 Incidences '!Q170)/3</f>
        <v>42.220202378870226</v>
      </c>
      <c r="G121" s="409">
        <v>102.00999999999999</v>
      </c>
    </row>
    <row r="122" spans="1:9" ht="13.8" x14ac:dyDescent="0.25">
      <c r="A122" s="418">
        <v>2174</v>
      </c>
      <c r="B122" s="419" t="s">
        <v>148</v>
      </c>
      <c r="C122" s="420">
        <f>('B8 Incidences '!C85+'B8 Incidences '!I85+'B8 Incidences '!O85)/3</f>
        <v>1805.2558650515518</v>
      </c>
      <c r="D122" s="420">
        <f>('B8 Incidences '!D85+'B8 Incidences '!J85+'B8 Incidences '!P85)/3</f>
        <v>1848.1145345662951</v>
      </c>
      <c r="E122" s="421">
        <f t="shared" si="3"/>
        <v>42.858669514743269</v>
      </c>
      <c r="F122" s="422">
        <f>('B8 Incidences '!E85+'B8 Incidences '!K85+'B8 Incidences '!Q85)/3</f>
        <v>42.858669514743191</v>
      </c>
      <c r="G122" s="423">
        <v>102.74666666666667</v>
      </c>
      <c r="H122" s="424">
        <v>42.84</v>
      </c>
      <c r="I122" s="425" t="s">
        <v>502</v>
      </c>
    </row>
    <row r="123" spans="1:9" ht="13.8" x14ac:dyDescent="0.25">
      <c r="A123" s="96">
        <v>2231</v>
      </c>
      <c r="B123" s="97" t="s">
        <v>204</v>
      </c>
      <c r="C123" s="343">
        <f>('B8 Incidences '!C114+'B8 Incidences '!I114+'B8 Incidences '!O114)/3</f>
        <v>1831.1195785705331</v>
      </c>
      <c r="D123" s="343">
        <f>('B8 Incidences '!D114+'B8 Incidences '!J114+'B8 Incidences '!P114)/3</f>
        <v>1874.2616682303353</v>
      </c>
      <c r="E123" s="153">
        <f t="shared" si="3"/>
        <v>43.142089659802195</v>
      </c>
      <c r="F123" s="385">
        <f>('B8 Incidences '!E114+'B8 Incidences '!K114+'B8 Incidences '!Q114)/3</f>
        <v>43.142089659802274</v>
      </c>
      <c r="G123" s="409">
        <v>104.32666666666667</v>
      </c>
    </row>
    <row r="124" spans="1:9" ht="13.8" x14ac:dyDescent="0.25">
      <c r="A124" s="96">
        <v>2138</v>
      </c>
      <c r="B124" s="97" t="s">
        <v>120</v>
      </c>
      <c r="C124" s="343">
        <f>('B8 Incidences '!C69+'B8 Incidences '!I69+'B8 Incidences '!O69)/3</f>
        <v>1767.7365610166423</v>
      </c>
      <c r="D124" s="343">
        <f>('B8 Incidences '!D69+'B8 Incidences '!J69+'B8 Incidences '!P69)/3</f>
        <v>1811.3523588601313</v>
      </c>
      <c r="E124" s="153">
        <f t="shared" si="3"/>
        <v>43.615797843488963</v>
      </c>
      <c r="F124" s="385">
        <f>('B8 Incidences '!E69+'B8 Incidences '!K69+'B8 Incidences '!Q69)/3</f>
        <v>43.615797843489268</v>
      </c>
      <c r="G124" s="409">
        <v>100.79</v>
      </c>
    </row>
    <row r="125" spans="1:9" ht="13.8" x14ac:dyDescent="0.25">
      <c r="A125" s="96">
        <v>2099</v>
      </c>
      <c r="B125" s="97" t="s">
        <v>80</v>
      </c>
      <c r="C125" s="343">
        <f>('B8 Incidences '!C50+'B8 Incidences '!I50+'B8 Incidences '!O50)/3</f>
        <v>1797.0279984680653</v>
      </c>
      <c r="D125" s="343">
        <f>('B8 Incidences '!D50+'B8 Incidences '!J50+'B8 Incidences '!P50)/3</f>
        <v>1840.908868355702</v>
      </c>
      <c r="E125" s="153">
        <f t="shared" si="3"/>
        <v>43.880869887636663</v>
      </c>
      <c r="F125" s="385">
        <f>('B8 Incidences '!E50+'B8 Incidences '!K50+'B8 Incidences '!Q50)/3</f>
        <v>43.880869887636514</v>
      </c>
      <c r="G125" s="409">
        <v>102.46</v>
      </c>
    </row>
    <row r="126" spans="1:9" ht="13.8" x14ac:dyDescent="0.25">
      <c r="A126" s="96">
        <v>2016</v>
      </c>
      <c r="B126" s="97" t="s">
        <v>18</v>
      </c>
      <c r="C126" s="343">
        <f>('B8 Incidences '!C17+'B8 Incidences '!I17+'B8 Incidences '!O17)/3</f>
        <v>1808.1652845839628</v>
      </c>
      <c r="D126" s="343">
        <f>('B8 Incidences '!D17+'B8 Incidences '!J17+'B8 Incidences '!P17)/3</f>
        <v>1852.0508868680747</v>
      </c>
      <c r="E126" s="153">
        <f t="shared" si="3"/>
        <v>43.885602284111883</v>
      </c>
      <c r="F126" s="385">
        <f>('B8 Incidences '!E17+'B8 Incidences '!K17+'B8 Incidences '!Q17)/3</f>
        <v>43.885602284111656</v>
      </c>
      <c r="G126" s="409">
        <v>102.89333333333333</v>
      </c>
    </row>
    <row r="127" spans="1:9" ht="13.8" x14ac:dyDescent="0.25">
      <c r="A127" s="96">
        <v>2258</v>
      </c>
      <c r="B127" s="97" t="s">
        <v>219</v>
      </c>
      <c r="C127" s="343">
        <f>('B8 Incidences '!C123+'B8 Incidences '!I123+'B8 Incidences '!O123)/3</f>
        <v>1761.5800233259686</v>
      </c>
      <c r="D127" s="343">
        <f>('B8 Incidences '!D123+'B8 Incidences '!J123+'B8 Incidences '!P123)/3</f>
        <v>1805.6890190258557</v>
      </c>
      <c r="E127" s="153">
        <f t="shared" si="3"/>
        <v>44.108995699887146</v>
      </c>
      <c r="F127" s="385">
        <f>('B8 Incidences '!E123+'B8 Incidences '!K123+'B8 Incidences '!Q123)/3</f>
        <v>44.108995699887522</v>
      </c>
      <c r="G127" s="409">
        <v>100.46666666666665</v>
      </c>
    </row>
    <row r="128" spans="1:9" ht="13.8" x14ac:dyDescent="0.25">
      <c r="A128" s="96">
        <v>2333</v>
      </c>
      <c r="B128" s="97" t="s">
        <v>302</v>
      </c>
      <c r="C128" s="343">
        <f>('B8 Incidences '!C166+'B8 Incidences '!I166+'B8 Incidences '!O166)/3</f>
        <v>1822.9043128109215</v>
      </c>
      <c r="D128" s="343">
        <f>('B8 Incidences '!D166+'B8 Incidences '!J166+'B8 Incidences '!P166)/3</f>
        <v>1867.0812642527355</v>
      </c>
      <c r="E128" s="153">
        <f t="shared" si="3"/>
        <v>44.176951441814026</v>
      </c>
      <c r="F128" s="385">
        <f>('B8 Incidences '!E166+'B8 Incidences '!K166+'B8 Incidences '!Q166)/3</f>
        <v>44.176951441814253</v>
      </c>
      <c r="G128" s="409">
        <v>103.75666666666666</v>
      </c>
    </row>
    <row r="129" spans="1:7" ht="13.8" x14ac:dyDescent="0.25">
      <c r="A129" s="96">
        <v>2335</v>
      </c>
      <c r="B129" s="97" t="s">
        <v>304</v>
      </c>
      <c r="C129" s="343">
        <f>('B8 Incidences '!C167+'B8 Incidences '!I167+'B8 Incidences '!O167)/3</f>
        <v>1814.8518911574154</v>
      </c>
      <c r="D129" s="343">
        <f>('B8 Incidences '!D167+'B8 Incidences '!J167+'B8 Incidences '!P167)/3</f>
        <v>1859.0923100924356</v>
      </c>
      <c r="E129" s="153">
        <f t="shared" si="3"/>
        <v>44.240418935020216</v>
      </c>
      <c r="F129" s="385">
        <f>('B8 Incidences '!E167+'B8 Incidences '!K167+'B8 Incidences '!Q167)/3</f>
        <v>44.240418935020443</v>
      </c>
      <c r="G129" s="409">
        <v>103.45333333333333</v>
      </c>
    </row>
    <row r="130" spans="1:7" ht="13.8" x14ac:dyDescent="0.25">
      <c r="A130" s="96">
        <v>2265</v>
      </c>
      <c r="B130" s="97" t="s">
        <v>230</v>
      </c>
      <c r="C130" s="343">
        <f>('B8 Incidences '!C129+'B8 Incidences '!I129+'B8 Incidences '!O129)/3</f>
        <v>1812.5076828981062</v>
      </c>
      <c r="D130" s="343">
        <f>('B8 Incidences '!D129+'B8 Incidences '!J129+'B8 Incidences '!P129)/3</f>
        <v>1856.7996798012562</v>
      </c>
      <c r="E130" s="153">
        <f t="shared" si="3"/>
        <v>44.291996903149993</v>
      </c>
      <c r="F130" s="385">
        <f>('B8 Incidences '!E129+'B8 Incidences '!K129+'B8 Incidences '!Q129)/3</f>
        <v>44.291996903149688</v>
      </c>
      <c r="G130" s="409">
        <v>103.25666666666666</v>
      </c>
    </row>
    <row r="131" spans="1:7" ht="13.8" x14ac:dyDescent="0.25">
      <c r="A131" s="96">
        <v>2087</v>
      </c>
      <c r="B131" s="97" t="s">
        <v>72</v>
      </c>
      <c r="C131" s="343">
        <f>('B8 Incidences '!C46+'B8 Incidences '!I46+'B8 Incidences '!O46)/3</f>
        <v>1799.444076536169</v>
      </c>
      <c r="D131" s="343">
        <f>('B8 Incidences '!D46+'B8 Incidences '!J46+'B8 Incidences '!P46)/3</f>
        <v>1843.9867685730426</v>
      </c>
      <c r="E131" s="153">
        <f t="shared" si="3"/>
        <v>44.542692036873632</v>
      </c>
      <c r="F131" s="385">
        <f>('B8 Incidences '!E46+'B8 Incidences '!K46+'B8 Incidences '!Q46)/3</f>
        <v>44.542692036873632</v>
      </c>
      <c r="G131" s="409">
        <v>102.56333333333333</v>
      </c>
    </row>
    <row r="132" spans="1:7" ht="13.8" x14ac:dyDescent="0.25">
      <c r="A132" s="96">
        <v>2200</v>
      </c>
      <c r="B132" s="97" t="s">
        <v>175</v>
      </c>
      <c r="C132" s="343">
        <f>('B8 Incidences '!C99+'B8 Incidences '!I99+'B8 Incidences '!O99)/3</f>
        <v>1835.5966236903053</v>
      </c>
      <c r="D132" s="343">
        <f>('B8 Incidences '!D99+'B8 Incidences '!J99+'B8 Incidences '!P99)/3</f>
        <v>1880.183193812087</v>
      </c>
      <c r="E132" s="153">
        <f t="shared" si="3"/>
        <v>44.586570121781733</v>
      </c>
      <c r="F132" s="385">
        <f>('B8 Incidences '!E99+'B8 Incidences '!K99+'B8 Incidences '!Q99)/3</f>
        <v>44.586570121781733</v>
      </c>
      <c r="G132" s="409">
        <v>104.59333333333332</v>
      </c>
    </row>
    <row r="133" spans="1:7" ht="13.8" x14ac:dyDescent="0.25">
      <c r="A133" s="96">
        <v>2033</v>
      </c>
      <c r="B133" s="97" t="s">
        <v>33</v>
      </c>
      <c r="C133" s="343">
        <f>('B8 Incidences '!C23+'B8 Incidences '!I23+'B8 Incidences '!O23)/3</f>
        <v>1761.352924688621</v>
      </c>
      <c r="D133" s="343">
        <f>('B8 Incidences '!D23+'B8 Incidences '!J23+'B8 Incidences '!P23)/3</f>
        <v>1806.3322939809011</v>
      </c>
      <c r="E133" s="153">
        <f t="shared" si="3"/>
        <v>44.979369292280126</v>
      </c>
      <c r="F133" s="385">
        <f>('B8 Incidences '!E23+'B8 Incidences '!K23+'B8 Incidences '!Q23)/3</f>
        <v>44.979369292280126</v>
      </c>
      <c r="G133" s="409">
        <v>100.16000000000001</v>
      </c>
    </row>
    <row r="134" spans="1:7" ht="13.8" x14ac:dyDescent="0.25">
      <c r="A134" s="96">
        <v>2052</v>
      </c>
      <c r="B134" s="97" t="s">
        <v>311</v>
      </c>
      <c r="C134" s="343">
        <f>('B8 Incidences '!C37+'B8 Incidences '!I37+'B8 Incidences '!O37)/3</f>
        <v>1821.3216648929958</v>
      </c>
      <c r="D134" s="343">
        <f>('B8 Incidences '!D37+'B8 Incidences '!J37+'B8 Incidences '!P37)/3</f>
        <v>1866.3633081364658</v>
      </c>
      <c r="E134" s="153">
        <f t="shared" si="3"/>
        <v>45.041643243469935</v>
      </c>
      <c r="F134" s="385">
        <f>('B8 Incidences '!E37+'B8 Incidences '!K37+'B8 Incidences '!Q37)/3</f>
        <v>45.041643243469856</v>
      </c>
      <c r="G134" s="409">
        <v>103.72333333333334</v>
      </c>
    </row>
    <row r="135" spans="1:7" s="107" customFormat="1" ht="13.8" x14ac:dyDescent="0.25">
      <c r="A135" s="99">
        <v>2337</v>
      </c>
      <c r="B135" s="100" t="s">
        <v>300</v>
      </c>
      <c r="C135" s="343">
        <f>('B8 Incidences '!C169+'B8 Incidences '!I169+'B8 Incidences '!O169)/3</f>
        <v>1830.3440444884081</v>
      </c>
      <c r="D135" s="343">
        <f>('B8 Incidences '!D169+'B8 Incidences '!J169+'B8 Incidences '!P169)/3</f>
        <v>1875.5780658140684</v>
      </c>
      <c r="E135" s="153">
        <f t="shared" si="3"/>
        <v>45.234021325660251</v>
      </c>
      <c r="F135" s="385">
        <f>('B8 Incidences '!E169+'B8 Incidences '!K169+'B8 Incidences '!Q169)/3</f>
        <v>45.234021325660173</v>
      </c>
      <c r="G135" s="409">
        <v>104.16333333333334</v>
      </c>
    </row>
    <row r="136" spans="1:7" ht="13.8" x14ac:dyDescent="0.25">
      <c r="A136" s="96">
        <v>2125</v>
      </c>
      <c r="B136" s="97" t="s">
        <v>99</v>
      </c>
      <c r="C136" s="343">
        <f>('B8 Incidences '!C61+'B8 Incidences '!I61+'B8 Incidences '!O61)/3</f>
        <v>1842.3743607829722</v>
      </c>
      <c r="D136" s="343">
        <f>('B8 Incidences '!D61+'B8 Incidences '!J61+'B8 Incidences '!P61)/3</f>
        <v>1887.7927214491212</v>
      </c>
      <c r="E136" s="153">
        <f t="shared" ref="E136:E167" si="4">D136-C136</f>
        <v>45.418360666149056</v>
      </c>
      <c r="F136" s="385">
        <f>('B8 Incidences '!E61+'B8 Incidences '!K61+'B8 Incidences '!Q61)/3</f>
        <v>45.418360666149134</v>
      </c>
      <c r="G136" s="409">
        <v>104.92</v>
      </c>
    </row>
    <row r="137" spans="1:7" ht="13.8" x14ac:dyDescent="0.25">
      <c r="A137" s="96">
        <v>2235</v>
      </c>
      <c r="B137" s="97" t="s">
        <v>176</v>
      </c>
      <c r="C137" s="343">
        <f>('B8 Incidences '!C117+'B8 Incidences '!I117+'B8 Incidences '!O117)/3</f>
        <v>1811.7344869909532</v>
      </c>
      <c r="D137" s="343">
        <f>('B8 Incidences '!D117+'B8 Incidences '!J117+'B8 Incidences '!P117)/3</f>
        <v>1857.4252069014435</v>
      </c>
      <c r="E137" s="153">
        <f t="shared" si="4"/>
        <v>45.690719910490316</v>
      </c>
      <c r="F137" s="385">
        <f>('B8 Incidences '!E117+'B8 Incidences '!K117+'B8 Incidences '!Q117)/3</f>
        <v>45.690719910490316</v>
      </c>
      <c r="G137" s="409">
        <v>103.11000000000001</v>
      </c>
    </row>
    <row r="138" spans="1:7" ht="13.8" x14ac:dyDescent="0.25">
      <c r="A138" s="96">
        <v>2257</v>
      </c>
      <c r="B138" s="97" t="s">
        <v>217</v>
      </c>
      <c r="C138" s="343">
        <f>('B8 Incidences '!C122+'B8 Incidences '!I122+'B8 Incidences '!O122)/3</f>
        <v>1821.7735193031285</v>
      </c>
      <c r="D138" s="343">
        <f>('B8 Incidences '!D122+'B8 Incidences '!J122+'B8 Incidences '!P122)/3</f>
        <v>1867.7708580752922</v>
      </c>
      <c r="E138" s="153">
        <f t="shared" si="4"/>
        <v>45.99733877216363</v>
      </c>
      <c r="F138" s="385">
        <f>('B8 Incidences '!E122+'B8 Incidences '!K122+'B8 Incidences '!Q122)/3</f>
        <v>45.997338772163708</v>
      </c>
      <c r="G138" s="409">
        <v>103.77333333333335</v>
      </c>
    </row>
    <row r="139" spans="1:7" ht="13.8" x14ac:dyDescent="0.25">
      <c r="A139" s="108">
        <v>2102</v>
      </c>
      <c r="B139" s="109" t="s">
        <v>83</v>
      </c>
      <c r="C139" s="343">
        <f>('B8 Incidences '!C51+'B8 Incidences '!I51+'B8 Incidences '!O51)/3</f>
        <v>1848.0442613917564</v>
      </c>
      <c r="D139" s="343">
        <f>('B8 Incidences '!D51+'B8 Incidences '!J51+'B8 Incidences '!P51)/3</f>
        <v>1894.1799136098709</v>
      </c>
      <c r="E139" s="153">
        <f t="shared" si="4"/>
        <v>46.135652218114501</v>
      </c>
      <c r="F139" s="385">
        <f>('B8 Incidences '!E51+'B8 Incidences '!K51+'B8 Incidences '!Q51)/3</f>
        <v>46.135652218114728</v>
      </c>
      <c r="G139" s="410">
        <v>105.22333333333331</v>
      </c>
    </row>
    <row r="140" spans="1:7" ht="13.8" x14ac:dyDescent="0.25">
      <c r="A140" s="96">
        <v>2113</v>
      </c>
      <c r="B140" s="97" t="s">
        <v>89</v>
      </c>
      <c r="C140" s="343">
        <f>('B8 Incidences '!C53+'B8 Incidences '!I53+'B8 Incidences '!O53)/3</f>
        <v>1843.7138037056848</v>
      </c>
      <c r="D140" s="343">
        <f>('B8 Incidences '!D53+'B8 Incidences '!J53+'B8 Incidences '!P53)/3</f>
        <v>1889.911755613223</v>
      </c>
      <c r="E140" s="153">
        <f t="shared" si="4"/>
        <v>46.197951907538254</v>
      </c>
      <c r="F140" s="385">
        <f>('B8 Incidences '!E53+'B8 Incidences '!K53+'B8 Incidences '!Q53)/3</f>
        <v>46.197951907538176</v>
      </c>
      <c r="G140" s="409">
        <v>105.03333333333335</v>
      </c>
    </row>
    <row r="141" spans="1:7" ht="13.8" x14ac:dyDescent="0.25">
      <c r="A141" s="96">
        <v>2027</v>
      </c>
      <c r="B141" s="97" t="s">
        <v>28</v>
      </c>
      <c r="C141" s="343">
        <f>('B8 Incidences '!C21+'B8 Incidences '!I21+'B8 Incidences '!O21)/3</f>
        <v>1837.6600753177088</v>
      </c>
      <c r="D141" s="343">
        <f>('B8 Incidences '!D21+'B8 Incidences '!J21+'B8 Incidences '!P21)/3</f>
        <v>1884.5030901580114</v>
      </c>
      <c r="E141" s="153">
        <f t="shared" si="4"/>
        <v>46.843014840302658</v>
      </c>
      <c r="F141" s="385">
        <f>('B8 Incidences '!E21+'B8 Incidences '!K21+'B8 Incidences '!Q21)/3</f>
        <v>46.843014840302736</v>
      </c>
      <c r="G141" s="409">
        <v>104.58333333333333</v>
      </c>
    </row>
    <row r="142" spans="1:7" ht="13.8" x14ac:dyDescent="0.25">
      <c r="A142" s="96">
        <v>2035</v>
      </c>
      <c r="B142" s="97" t="s">
        <v>37</v>
      </c>
      <c r="C142" s="343">
        <f>('B8 Incidences '!C25+'B8 Incidences '!I25+'B8 Incidences '!O25)/3</f>
        <v>1848.3697830707345</v>
      </c>
      <c r="D142" s="343">
        <f>('B8 Incidences '!D25+'B8 Incidences '!J25+'B8 Incidences '!P25)/3</f>
        <v>1896.6036883123577</v>
      </c>
      <c r="E142" s="153">
        <f t="shared" si="4"/>
        <v>48.233905241623233</v>
      </c>
      <c r="F142" s="385">
        <f>('B8 Incidences '!E25+'B8 Incidences '!K25+'B8 Incidences '!Q25)/3</f>
        <v>48.233905241623312</v>
      </c>
      <c r="G142" s="409">
        <v>105.16000000000001</v>
      </c>
    </row>
    <row r="143" spans="1:7" ht="13.8" x14ac:dyDescent="0.25">
      <c r="A143" s="96">
        <v>2278</v>
      </c>
      <c r="B143" s="97" t="s">
        <v>247</v>
      </c>
      <c r="C143" s="343">
        <f>('B8 Incidences '!C138+'B8 Incidences '!I138+'B8 Incidences '!O138)/3</f>
        <v>1830.3633431930782</v>
      </c>
      <c r="D143" s="343">
        <f>('B8 Incidences '!D138+'B8 Incidences '!J138+'B8 Incidences '!P138)/3</f>
        <v>1878.7819471946552</v>
      </c>
      <c r="E143" s="153">
        <f t="shared" si="4"/>
        <v>48.418604001577023</v>
      </c>
      <c r="F143" s="385">
        <f>('B8 Incidences '!E138+'B8 Incidences '!K138+'B8 Incidences '!Q138)/3</f>
        <v>48.418604001577329</v>
      </c>
      <c r="G143" s="409">
        <v>104.27</v>
      </c>
    </row>
    <row r="144" spans="1:7" ht="13.8" x14ac:dyDescent="0.25">
      <c r="A144" s="96">
        <v>2096</v>
      </c>
      <c r="B144" s="97" t="s">
        <v>76</v>
      </c>
      <c r="C144" s="343">
        <f>('B8 Incidences '!C48+'B8 Incidences '!I48+'B8 Incidences '!O48)/3</f>
        <v>1868.7139539883801</v>
      </c>
      <c r="D144" s="343">
        <f>('B8 Incidences '!D48+'B8 Incidences '!J48+'B8 Incidences '!P48)/3</f>
        <v>1917.2128801367905</v>
      </c>
      <c r="E144" s="153">
        <f t="shared" si="4"/>
        <v>48.498926148410419</v>
      </c>
      <c r="F144" s="385">
        <f>('B8 Incidences '!E48+'B8 Incidences '!K48+'B8 Incidences '!Q48)/3</f>
        <v>48.49892614841027</v>
      </c>
      <c r="G144" s="409">
        <v>106.42333333333333</v>
      </c>
    </row>
    <row r="145" spans="1:7" ht="13.8" x14ac:dyDescent="0.25">
      <c r="A145" s="96">
        <v>2328</v>
      </c>
      <c r="B145" s="97" t="s">
        <v>299</v>
      </c>
      <c r="C145" s="343">
        <f>('B8 Incidences '!C165+'B8 Incidences '!I165+'B8 Incidences '!O165)/3</f>
        <v>1832.1283131775726</v>
      </c>
      <c r="D145" s="343">
        <f>('B8 Incidences '!D165+'B8 Incidences '!J165+'B8 Incidences '!P165)/3</f>
        <v>1880.8626636478966</v>
      </c>
      <c r="E145" s="153">
        <f t="shared" si="4"/>
        <v>48.734350470323989</v>
      </c>
      <c r="F145" s="385">
        <f>('B8 Incidences '!E165+'B8 Incidences '!K165+'B8 Incidences '!Q165)/3</f>
        <v>48.734350470324067</v>
      </c>
      <c r="G145" s="409">
        <v>104.20666666666666</v>
      </c>
    </row>
    <row r="146" spans="1:7" ht="13.8" x14ac:dyDescent="0.25">
      <c r="A146" s="96">
        <v>2226</v>
      </c>
      <c r="B146" s="97" t="s">
        <v>198</v>
      </c>
      <c r="C146" s="343">
        <f>('B8 Incidences '!C111+'B8 Incidences '!I111+'B8 Incidences '!O111)/3</f>
        <v>1846.7121602354903</v>
      </c>
      <c r="D146" s="343">
        <f>('B8 Incidences '!D111+'B8 Incidences '!J111+'B8 Incidences '!P111)/3</f>
        <v>1895.725386906619</v>
      </c>
      <c r="E146" s="153">
        <f t="shared" si="4"/>
        <v>49.013226671128677</v>
      </c>
      <c r="F146" s="385">
        <f>('B8 Incidences '!E111+'B8 Incidences '!K111+'B8 Incidences '!Q111)/3</f>
        <v>49.013226671128372</v>
      </c>
      <c r="G146" s="409">
        <v>105.14333333333333</v>
      </c>
    </row>
    <row r="147" spans="1:7" ht="13.8" x14ac:dyDescent="0.25">
      <c r="A147" s="96">
        <v>2323</v>
      </c>
      <c r="B147" s="97" t="s">
        <v>294</v>
      </c>
      <c r="C147" s="343">
        <f>('B8 Incidences '!C163+'B8 Incidences '!I163+'B8 Incidences '!O163)/3</f>
        <v>1858.7159539477959</v>
      </c>
      <c r="D147" s="343">
        <f>('B8 Incidences '!D163+'B8 Incidences '!J163+'B8 Incidences '!P163)/3</f>
        <v>1907.8080285044982</v>
      </c>
      <c r="E147" s="153">
        <f t="shared" si="4"/>
        <v>49.0920745567023</v>
      </c>
      <c r="F147" s="385">
        <f>('B8 Incidences '!E163+'B8 Incidences '!K163+'B8 Incidences '!Q163)/3</f>
        <v>49.09207455670245</v>
      </c>
      <c r="G147" s="409">
        <v>105.79</v>
      </c>
    </row>
    <row r="148" spans="1:7" ht="13.8" x14ac:dyDescent="0.25">
      <c r="A148" s="108">
        <v>2275</v>
      </c>
      <c r="B148" s="109" t="s">
        <v>242</v>
      </c>
      <c r="C148" s="343">
        <f>('B8 Incidences '!C135+'B8 Incidences '!I135+'B8 Incidences '!O135)/3</f>
        <v>1856.4194548740215</v>
      </c>
      <c r="D148" s="343">
        <f>('B8 Incidences '!D135+'B8 Incidences '!J135+'B8 Incidences '!P135)/3</f>
        <v>1905.926144770923</v>
      </c>
      <c r="E148" s="153">
        <f t="shared" si="4"/>
        <v>49.506689896901435</v>
      </c>
      <c r="F148" s="385">
        <f>('B8 Incidences '!E135+'B8 Incidences '!K135+'B8 Incidences '!Q135)/3</f>
        <v>49.506689896901058</v>
      </c>
      <c r="G148" s="410">
        <v>105.70333333333333</v>
      </c>
    </row>
    <row r="149" spans="1:7" ht="13.8" x14ac:dyDescent="0.25">
      <c r="A149" s="96">
        <v>2298</v>
      </c>
      <c r="B149" s="97" t="s">
        <v>268</v>
      </c>
      <c r="C149" s="343">
        <f>('B8 Incidences '!C149+'B8 Incidences '!I149+'B8 Incidences '!O149)/3</f>
        <v>1864.3884513282553</v>
      </c>
      <c r="D149" s="343">
        <f>('B8 Incidences '!D149+'B8 Incidences '!J149+'B8 Incidences '!P149)/3</f>
        <v>1914.3396610492025</v>
      </c>
      <c r="E149" s="153">
        <f t="shared" si="4"/>
        <v>49.95120972094719</v>
      </c>
      <c r="F149" s="385">
        <f>('B8 Incidences '!E149+'B8 Incidences '!K149+'B8 Incidences '!Q149)/3</f>
        <v>49.95120972094734</v>
      </c>
      <c r="G149" s="409">
        <v>106.23333333333333</v>
      </c>
    </row>
    <row r="150" spans="1:7" ht="13.8" x14ac:dyDescent="0.25">
      <c r="A150" s="96">
        <v>2152</v>
      </c>
      <c r="B150" s="97" t="s">
        <v>134</v>
      </c>
      <c r="C150" s="343">
        <f>('B8 Incidences '!C76+'B8 Incidences '!I76+'B8 Incidences '!O76)/3</f>
        <v>1871.8586187735391</v>
      </c>
      <c r="D150" s="343">
        <f>('B8 Incidences '!D76+'B8 Incidences '!J76+'B8 Incidences '!P76)/3</f>
        <v>1922.2478431454367</v>
      </c>
      <c r="E150" s="153">
        <f t="shared" si="4"/>
        <v>50.389224371897626</v>
      </c>
      <c r="F150" s="385">
        <f>('B8 Incidences '!E76+'B8 Incidences '!K76+'B8 Incidences '!Q76)/3</f>
        <v>50.389224371897626</v>
      </c>
      <c r="G150" s="409">
        <v>106.66666666666667</v>
      </c>
    </row>
    <row r="151" spans="1:7" ht="13.8" x14ac:dyDescent="0.25">
      <c r="A151" s="96">
        <v>2321</v>
      </c>
      <c r="B151" s="97" t="s">
        <v>386</v>
      </c>
      <c r="C151" s="343">
        <f>('B8 Incidences '!C162+'B8 Incidences '!I162+'B8 Incidences '!O162)/3</f>
        <v>1885.8848715249505</v>
      </c>
      <c r="D151" s="343">
        <f>('B8 Incidences '!D162+'B8 Incidences '!J162+'B8 Incidences '!P162)/3</f>
        <v>1936.3598090416933</v>
      </c>
      <c r="E151" s="153">
        <f t="shared" si="4"/>
        <v>50.474937516742784</v>
      </c>
      <c r="F151" s="385">
        <f>('B8 Incidences '!E162+'B8 Incidences '!K162+'B8 Incidences '!Q162)/3</f>
        <v>50.474937516742557</v>
      </c>
      <c r="G151" s="409">
        <v>107.37333333333333</v>
      </c>
    </row>
    <row r="152" spans="1:7" ht="13.8" x14ac:dyDescent="0.25">
      <c r="A152" s="96">
        <v>2192</v>
      </c>
      <c r="B152" s="97" t="s">
        <v>381</v>
      </c>
      <c r="C152" s="343">
        <f>('B8 Incidences '!C94+'B8 Incidences '!I94+'B8 Incidences '!O94)/3</f>
        <v>1865.5505866864016</v>
      </c>
      <c r="D152" s="343">
        <f>('B8 Incidences '!D94+'B8 Incidences '!J94+'B8 Incidences '!P94)/3</f>
        <v>1916.0657643862698</v>
      </c>
      <c r="E152" s="153">
        <f t="shared" si="4"/>
        <v>50.515177699868218</v>
      </c>
      <c r="F152" s="385">
        <f>('B8 Incidences '!E94+'B8 Incidences '!K94+'B8 Incidences '!Q94)/3</f>
        <v>50.515177699868445</v>
      </c>
      <c r="G152" s="409">
        <v>106.30666666666667</v>
      </c>
    </row>
    <row r="153" spans="1:7" ht="13.8" x14ac:dyDescent="0.25">
      <c r="A153" s="96">
        <v>2145</v>
      </c>
      <c r="B153" s="97" t="s">
        <v>126</v>
      </c>
      <c r="C153" s="343">
        <f>('B8 Incidences '!C72+'B8 Incidences '!I72+'B8 Incidences '!O72)/3</f>
        <v>1865.0660935890066</v>
      </c>
      <c r="D153" s="343">
        <f>('B8 Incidences '!D72+'B8 Incidences '!J72+'B8 Incidences '!P72)/3</f>
        <v>1915.7559241496635</v>
      </c>
      <c r="E153" s="153">
        <f t="shared" si="4"/>
        <v>50.689830560656901</v>
      </c>
      <c r="F153" s="385">
        <f>('B8 Incidences '!E72+'B8 Incidences '!K72+'B8 Incidences '!Q72)/3</f>
        <v>50.689830560656674</v>
      </c>
      <c r="G153" s="409">
        <v>106.25666666666666</v>
      </c>
    </row>
    <row r="154" spans="1:7" ht="13.8" x14ac:dyDescent="0.25">
      <c r="A154" s="96">
        <v>2310</v>
      </c>
      <c r="B154" s="97" t="s">
        <v>291</v>
      </c>
      <c r="C154" s="343">
        <f>('B8 Incidences '!C161+'B8 Incidences '!I161+'B8 Incidences '!O161)/3</f>
        <v>1753.6483403631655</v>
      </c>
      <c r="D154" s="343">
        <f>('B8 Incidences '!D161+'B8 Incidences '!J161+'B8 Incidences '!P161)/3</f>
        <v>1805.2423264810052</v>
      </c>
      <c r="E154" s="153">
        <f t="shared" si="4"/>
        <v>51.593986117839677</v>
      </c>
      <c r="F154" s="385">
        <f>('B8 Incidences '!E161+'B8 Incidences '!K161+'B8 Incidences '!Q161)/3</f>
        <v>51.593986117839755</v>
      </c>
      <c r="G154" s="409">
        <v>100.15666666666668</v>
      </c>
    </row>
    <row r="155" spans="1:7" ht="13.8" x14ac:dyDescent="0.25">
      <c r="A155" s="96">
        <v>2186</v>
      </c>
      <c r="B155" s="97" t="s">
        <v>162</v>
      </c>
      <c r="C155" s="343">
        <f>('B8 Incidences '!C92+'B8 Incidences '!I92+'B8 Incidences '!O92)/3</f>
        <v>1872.5464803352779</v>
      </c>
      <c r="D155" s="343">
        <f>('B8 Incidences '!D92+'B8 Incidences '!J92+'B8 Incidences '!P92)/3</f>
        <v>1924.152814981886</v>
      </c>
      <c r="E155" s="153">
        <f t="shared" si="4"/>
        <v>51.606334646608047</v>
      </c>
      <c r="F155" s="385">
        <f>('B8 Incidences '!E92+'B8 Incidences '!K92+'B8 Incidences '!Q92)/3</f>
        <v>51.606334646608047</v>
      </c>
      <c r="G155" s="409">
        <v>106.50333333333333</v>
      </c>
    </row>
    <row r="156" spans="1:7" ht="13.8" x14ac:dyDescent="0.25">
      <c r="A156" s="96">
        <v>2222</v>
      </c>
      <c r="B156" s="97" t="s">
        <v>193</v>
      </c>
      <c r="C156" s="343">
        <f>('B8 Incidences '!C108+'B8 Incidences '!I108+'B8 Incidences '!O108)/3</f>
        <v>1883.1381904502841</v>
      </c>
      <c r="D156" s="343">
        <f>('B8 Incidences '!D108+'B8 Incidences '!J108+'B8 Incidences '!P108)/3</f>
        <v>1935.3930583497079</v>
      </c>
      <c r="E156" s="153">
        <f t="shared" si="4"/>
        <v>52.254867899423743</v>
      </c>
      <c r="F156" s="385">
        <f>('B8 Incidences '!E108+'B8 Incidences '!K108+'B8 Incidences '!Q108)/3</f>
        <v>52.254867899423893</v>
      </c>
      <c r="G156" s="409">
        <v>107.22666666666667</v>
      </c>
    </row>
    <row r="157" spans="1:7" ht="13.8" x14ac:dyDescent="0.25">
      <c r="A157" s="96">
        <v>2264</v>
      </c>
      <c r="B157" s="97" t="s">
        <v>228</v>
      </c>
      <c r="C157" s="343">
        <f>('B8 Incidences '!C128+'B8 Incidences '!I128+'B8 Incidences '!O128)/3</f>
        <v>1870.9010912819488</v>
      </c>
      <c r="D157" s="343">
        <f>('B8 Incidences '!D128+'B8 Incidences '!J128+'B8 Incidences '!P128)/3</f>
        <v>1923.2915511055787</v>
      </c>
      <c r="E157" s="153">
        <f t="shared" si="4"/>
        <v>52.390459823629953</v>
      </c>
      <c r="F157" s="385">
        <f>('B8 Incidences '!E128+'B8 Incidences '!K128+'B8 Incidences '!Q128)/3</f>
        <v>52.390459823629577</v>
      </c>
      <c r="G157" s="409">
        <v>106.63333333333333</v>
      </c>
    </row>
    <row r="158" spans="1:7" ht="13.8" x14ac:dyDescent="0.25">
      <c r="A158" s="96">
        <v>2196</v>
      </c>
      <c r="B158" s="97" t="s">
        <v>169</v>
      </c>
      <c r="C158" s="343">
        <f>('B8 Incidences '!C96+'B8 Incidences '!I96+'B8 Incidences '!O96)/3</f>
        <v>1899.5938624850476</v>
      </c>
      <c r="D158" s="343">
        <f>('B8 Incidences '!D96+'B8 Incidences '!J96+'B8 Incidences '!P96)/3</f>
        <v>1952.2888462054143</v>
      </c>
      <c r="E158" s="153">
        <f t="shared" si="4"/>
        <v>52.694983720366736</v>
      </c>
      <c r="F158" s="385">
        <f>('B8 Incidences '!E96+'B8 Incidences '!K96+'B8 Incidences '!Q96)/3</f>
        <v>52.694983720366885</v>
      </c>
      <c r="G158" s="409">
        <v>108.22000000000001</v>
      </c>
    </row>
    <row r="159" spans="1:7" ht="13.8" x14ac:dyDescent="0.25">
      <c r="A159" s="108">
        <v>2015</v>
      </c>
      <c r="B159" s="109" t="s">
        <v>16</v>
      </c>
      <c r="C159" s="343">
        <f>('B8 Incidences '!C16+'B8 Incidences '!I16+'B8 Incidences '!O16)/3</f>
        <v>1913.9957428518371</v>
      </c>
      <c r="D159" s="343">
        <f>('B8 Incidences '!D16+'B8 Incidences '!J16+'B8 Incidences '!P16)/3</f>
        <v>1967.7050481550723</v>
      </c>
      <c r="E159" s="153">
        <f t="shared" si="4"/>
        <v>53.709305303235169</v>
      </c>
      <c r="F159" s="385">
        <f>('B8 Incidences '!E16+'B8 Incidences '!K16+'B8 Incidences '!Q16)/3</f>
        <v>53.709305303235169</v>
      </c>
      <c r="G159" s="410">
        <v>109.05666666666666</v>
      </c>
    </row>
    <row r="160" spans="1:7" ht="13.8" x14ac:dyDescent="0.25">
      <c r="A160" s="96">
        <v>2160</v>
      </c>
      <c r="B160" s="97" t="s">
        <v>140</v>
      </c>
      <c r="C160" s="343">
        <f>('B8 Incidences '!C79+'B8 Incidences '!I79+'B8 Incidences '!O79)/3</f>
        <v>1924.884843721298</v>
      </c>
      <c r="D160" s="343">
        <f>('B8 Incidences '!D79+'B8 Incidences '!J79+'B8 Incidences '!P79)/3</f>
        <v>1978.8226911927013</v>
      </c>
      <c r="E160" s="153">
        <f t="shared" si="4"/>
        <v>53.937847471403302</v>
      </c>
      <c r="F160" s="385">
        <f>('B8 Incidences '!E79+'B8 Incidences '!K79+'B8 Incidences '!Q79)/3</f>
        <v>53.937847471403607</v>
      </c>
      <c r="G160" s="409">
        <v>109.61666666666667</v>
      </c>
    </row>
    <row r="161" spans="1:7" ht="13.8" x14ac:dyDescent="0.25">
      <c r="A161" s="96">
        <v>2013</v>
      </c>
      <c r="B161" s="97" t="s">
        <v>12</v>
      </c>
      <c r="C161" s="343">
        <f>('B8 Incidences '!C14+'B8 Incidences '!I14+'B8 Incidences '!O14)/3</f>
        <v>1923.6635232839265</v>
      </c>
      <c r="D161" s="343">
        <f>('B8 Incidences '!D14+'B8 Incidences '!J14+'B8 Incidences '!P14)/3</f>
        <v>1977.7753418708571</v>
      </c>
      <c r="E161" s="153">
        <f t="shared" si="4"/>
        <v>54.111818586930667</v>
      </c>
      <c r="F161" s="385">
        <f>('B8 Incidences '!E14+'B8 Incidences '!K14+'B8 Incidences '!Q14)/3</f>
        <v>54.111818586930518</v>
      </c>
      <c r="G161" s="409">
        <v>109.53000000000002</v>
      </c>
    </row>
    <row r="162" spans="1:7" ht="13.8" x14ac:dyDescent="0.25">
      <c r="A162" s="96">
        <v>2068</v>
      </c>
      <c r="B162" s="97" t="s">
        <v>64</v>
      </c>
      <c r="C162" s="343">
        <f>('B8 Incidences '!C42+'B8 Incidences '!I42+'B8 Incidences '!O42)/3</f>
        <v>1892.310772379087</v>
      </c>
      <c r="D162" s="343">
        <f>('B8 Incidences '!D42+'B8 Incidences '!J42+'B8 Incidences '!P42)/3</f>
        <v>1946.9566649655699</v>
      </c>
      <c r="E162" s="153">
        <f t="shared" si="4"/>
        <v>54.645892586482887</v>
      </c>
      <c r="F162" s="385">
        <f>('B8 Incidences '!E42+'B8 Incidences '!K42+'B8 Incidences '!Q42)/3</f>
        <v>54.645892586483036</v>
      </c>
      <c r="G162" s="409">
        <v>107.69</v>
      </c>
    </row>
    <row r="163" spans="1:7" ht="13.8" x14ac:dyDescent="0.25">
      <c r="A163" s="96">
        <v>2254</v>
      </c>
      <c r="B163" s="97" t="s">
        <v>215</v>
      </c>
      <c r="C163" s="343">
        <f>('B8 Incidences '!C121+'B8 Incidences '!I121+'B8 Incidences '!O121)/3</f>
        <v>1944.799977314837</v>
      </c>
      <c r="D163" s="343">
        <f>('B8 Incidences '!D121+'B8 Incidences '!J121+'B8 Incidences '!P121)/3</f>
        <v>2001.1011899464636</v>
      </c>
      <c r="E163" s="153">
        <f t="shared" si="4"/>
        <v>56.30121263162664</v>
      </c>
      <c r="F163" s="385">
        <f>('B8 Incidences '!E121+'B8 Incidences '!K121+'B8 Incidences '!Q121)/3</f>
        <v>56.301212631626491</v>
      </c>
      <c r="G163" s="409">
        <v>110.73</v>
      </c>
    </row>
    <row r="164" spans="1:7" ht="13.8" x14ac:dyDescent="0.25">
      <c r="A164" s="96">
        <v>2228</v>
      </c>
      <c r="B164" s="97" t="s">
        <v>200</v>
      </c>
      <c r="C164" s="343">
        <f>('B8 Incidences '!C112+'B8 Incidences '!I112+'B8 Incidences '!O112)/3</f>
        <v>1954.7235258984047</v>
      </c>
      <c r="D164" s="343">
        <f>('B8 Incidences '!D112+'B8 Incidences '!J112+'B8 Incidences '!P112)/3</f>
        <v>2013.3128094863102</v>
      </c>
      <c r="E164" s="153">
        <f t="shared" si="4"/>
        <v>58.589283587905584</v>
      </c>
      <c r="F164" s="385">
        <f>('B8 Incidences '!E112+'B8 Incidences '!K112+'B8 Incidences '!Q112)/3</f>
        <v>58.589283587905733</v>
      </c>
      <c r="G164" s="409">
        <v>111.33999999999999</v>
      </c>
    </row>
    <row r="165" spans="1:7" ht="13.8" x14ac:dyDescent="0.25">
      <c r="A165" s="96">
        <v>2208</v>
      </c>
      <c r="B165" s="97" t="s">
        <v>180</v>
      </c>
      <c r="C165" s="343">
        <f>('B8 Incidences '!C101+'B8 Incidences '!I101+'B8 Incidences '!O101)/3</f>
        <v>1949.8801167141573</v>
      </c>
      <c r="D165" s="343">
        <f>('B8 Incidences '!D101+'B8 Incidences '!J101+'B8 Incidences '!P101)/3</f>
        <v>2011.1528119604116</v>
      </c>
      <c r="E165" s="153">
        <f t="shared" si="4"/>
        <v>61.272695246254216</v>
      </c>
      <c r="F165" s="385">
        <f>('B8 Incidences '!E101+'B8 Incidences '!K101+'B8 Incidences '!Q101)/3</f>
        <v>61.272695246253988</v>
      </c>
      <c r="G165" s="409">
        <v>111.09666666666665</v>
      </c>
    </row>
    <row r="166" spans="1:7" ht="13.8" x14ac:dyDescent="0.25">
      <c r="A166" s="96">
        <v>2271</v>
      </c>
      <c r="B166" s="97" t="s">
        <v>384</v>
      </c>
      <c r="C166" s="343">
        <f>('B8 Incidences '!C132+'B8 Incidences '!I132+'B8 Incidences '!O132)/3</f>
        <v>1947.4164600336496</v>
      </c>
      <c r="D166" s="343">
        <f>('B8 Incidences '!D132+'B8 Incidences '!J132+'B8 Incidences '!P132)/3</f>
        <v>2008.7016163952576</v>
      </c>
      <c r="E166" s="153">
        <f t="shared" si="4"/>
        <v>61.28515636160796</v>
      </c>
      <c r="F166" s="385">
        <f>('B8 Incidences '!E132+'B8 Incidences '!K132+'B8 Incidences '!Q132)/3</f>
        <v>61.285156361607882</v>
      </c>
      <c r="G166" s="409">
        <v>110.90999999999998</v>
      </c>
    </row>
    <row r="167" spans="1:7" ht="13.8" x14ac:dyDescent="0.25">
      <c r="A167" s="96">
        <v>2043</v>
      </c>
      <c r="B167" s="97" t="s">
        <v>47</v>
      </c>
      <c r="C167" s="343">
        <f>('B8 Incidences '!C30+'B8 Incidences '!I30+'B8 Incidences '!O30)/3</f>
        <v>1868.5978576572445</v>
      </c>
      <c r="D167" s="343">
        <f>('B8 Incidences '!D30+'B8 Incidences '!J30+'B8 Incidences '!P30)/3</f>
        <v>1932.5477061832178</v>
      </c>
      <c r="E167" s="153">
        <f t="shared" si="4"/>
        <v>63.949848525973266</v>
      </c>
      <c r="F167" s="385">
        <f>('B8 Incidences '!E30+'B8 Incidences '!K30+'B8 Incidences '!Q30)/3</f>
        <v>63.949848525972961</v>
      </c>
      <c r="G167" s="409">
        <v>106.08</v>
      </c>
    </row>
    <row r="168" spans="1:7" ht="13.8" x14ac:dyDescent="0.25">
      <c r="A168" s="96">
        <v>2140</v>
      </c>
      <c r="B168" s="97" t="s">
        <v>122</v>
      </c>
      <c r="C168" s="343">
        <f>('B8 Incidences '!C70+'B8 Incidences '!I70+'B8 Incidences '!O70)/3</f>
        <v>2011.614729059196</v>
      </c>
      <c r="D168" s="343">
        <f>('B8 Incidences '!D70+'B8 Incidences '!J70+'B8 Incidences '!P70)/3</f>
        <v>2076.6846799591403</v>
      </c>
      <c r="E168" s="153">
        <f t="shared" ref="E168:E170" si="5">D168-C168</f>
        <v>65.069950899944388</v>
      </c>
      <c r="F168" s="385">
        <f>('B8 Incidences '!E70+'B8 Incidences '!K70+'B8 Incidences '!Q70)/3</f>
        <v>65.069950899944459</v>
      </c>
      <c r="G168" s="409">
        <v>114.56333333333333</v>
      </c>
    </row>
    <row r="169" spans="1:7" ht="13.8" x14ac:dyDescent="0.25">
      <c r="A169" s="96">
        <v>2063</v>
      </c>
      <c r="B169" s="97" t="s">
        <v>59</v>
      </c>
      <c r="C169" s="343">
        <f>('B8 Incidences '!C39+'B8 Incidences '!I39+'B8 Incidences '!O39)/3</f>
        <v>1967.3691130085056</v>
      </c>
      <c r="D169" s="343">
        <f>('B8 Incidences '!D39+'B8 Incidences '!J39+'B8 Incidences '!P39)/3</f>
        <v>2033.0950151023553</v>
      </c>
      <c r="E169" s="153">
        <f t="shared" si="5"/>
        <v>65.725902093849754</v>
      </c>
      <c r="F169" s="385">
        <f>('B8 Incidences '!E39+'B8 Incidences '!K39+'B8 Incidences '!Q39)/3</f>
        <v>65.725902093849527</v>
      </c>
      <c r="G169" s="409">
        <v>112.19333333333333</v>
      </c>
    </row>
    <row r="170" spans="1:7" ht="13.8" x14ac:dyDescent="0.25">
      <c r="A170" s="344">
        <v>2038</v>
      </c>
      <c r="B170" s="345" t="s">
        <v>39</v>
      </c>
      <c r="C170" s="343">
        <f>('B8 Incidences '!C26+'B8 Incidences '!I26+'B8 Incidences '!O26)/3</f>
        <v>1983.2796899949981</v>
      </c>
      <c r="D170" s="343">
        <f>('B8 Incidences '!D26+'B8 Incidences '!J26+'B8 Incidences '!P26)/3</f>
        <v>2049.7902084324901</v>
      </c>
      <c r="E170" s="153">
        <f t="shared" si="5"/>
        <v>66.51051843749201</v>
      </c>
      <c r="F170" s="385">
        <f>('B8 Incidences '!E26+'B8 Incidences '!K26+'B8 Incidences '!Q26)/3</f>
        <v>66.510518437491854</v>
      </c>
      <c r="G170" s="409">
        <v>112.82</v>
      </c>
    </row>
    <row r="210" spans="2:3" x14ac:dyDescent="0.25">
      <c r="B210" s="167" t="s">
        <v>467</v>
      </c>
    </row>
    <row r="211" spans="2:3" x14ac:dyDescent="0.25">
      <c r="B211" s="388" t="s">
        <v>457</v>
      </c>
      <c r="C211">
        <v>1</v>
      </c>
    </row>
    <row r="212" spans="2:3" x14ac:dyDescent="0.25">
      <c r="B212" s="388" t="s">
        <v>458</v>
      </c>
      <c r="C212">
        <v>1</v>
      </c>
    </row>
    <row r="213" spans="2:3" x14ac:dyDescent="0.25">
      <c r="B213" s="388" t="s">
        <v>455</v>
      </c>
      <c r="C213">
        <v>11</v>
      </c>
    </row>
    <row r="214" spans="2:3" x14ac:dyDescent="0.25">
      <c r="B214" s="388" t="s">
        <v>456</v>
      </c>
      <c r="C214">
        <v>20</v>
      </c>
    </row>
    <row r="215" spans="2:3" x14ac:dyDescent="0.25">
      <c r="B215" s="388" t="s">
        <v>459</v>
      </c>
      <c r="C215">
        <v>28</v>
      </c>
    </row>
    <row r="216" spans="2:3" x14ac:dyDescent="0.25">
      <c r="B216" s="388" t="s">
        <v>460</v>
      </c>
      <c r="C216">
        <v>32</v>
      </c>
    </row>
    <row r="217" spans="2:3" x14ac:dyDescent="0.25">
      <c r="B217" s="388" t="s">
        <v>461</v>
      </c>
      <c r="C217">
        <v>33</v>
      </c>
    </row>
    <row r="218" spans="2:3" x14ac:dyDescent="0.25">
      <c r="B218" s="388" t="s">
        <v>462</v>
      </c>
      <c r="C218">
        <v>16</v>
      </c>
    </row>
    <row r="219" spans="2:3" x14ac:dyDescent="0.25">
      <c r="B219" s="388" t="s">
        <v>463</v>
      </c>
      <c r="C219">
        <v>13</v>
      </c>
    </row>
    <row r="220" spans="2:3" x14ac:dyDescent="0.25">
      <c r="B220" s="388" t="s">
        <v>464</v>
      </c>
      <c r="C220">
        <v>2</v>
      </c>
    </row>
    <row r="221" spans="2:3" x14ac:dyDescent="0.25">
      <c r="B221" s="388" t="s">
        <v>465</v>
      </c>
      <c r="C221">
        <v>3</v>
      </c>
    </row>
    <row r="222" spans="2:3" x14ac:dyDescent="0.25">
      <c r="B222" s="388" t="s">
        <v>466</v>
      </c>
      <c r="C222">
        <v>3</v>
      </c>
    </row>
    <row r="223" spans="2:3" x14ac:dyDescent="0.25">
      <c r="B223" s="388"/>
      <c r="C223">
        <f>SUM(C211:C222)</f>
        <v>163</v>
      </c>
    </row>
  </sheetData>
  <sortState ref="A8:G170">
    <sortCondition ref="E8:E170"/>
  </sortState>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71"/>
  <sheetViews>
    <sheetView zoomScale="90" zoomScaleNormal="90" workbookViewId="0">
      <selection activeCell="G6" sqref="G6"/>
    </sheetView>
  </sheetViews>
  <sheetFormatPr baseColWidth="10" defaultRowHeight="13.2" x14ac:dyDescent="0.25"/>
  <cols>
    <col min="1" max="1" width="6.88671875" customWidth="1"/>
    <col min="2" max="2" width="22.6640625" customWidth="1"/>
    <col min="3" max="3" width="10.6640625" customWidth="1"/>
    <col min="4" max="4" width="10.6640625" style="60" customWidth="1"/>
    <col min="5" max="5" width="10.6640625" customWidth="1"/>
  </cols>
  <sheetData>
    <row r="1" spans="1:14" x14ac:dyDescent="0.25">
      <c r="A1" s="92" t="s">
        <v>449</v>
      </c>
    </row>
    <row r="3" spans="1:14" ht="14.4" x14ac:dyDescent="0.25">
      <c r="N3" s="390"/>
    </row>
    <row r="4" spans="1:14" ht="14.4" x14ac:dyDescent="0.25">
      <c r="J4" s="393" t="s">
        <v>468</v>
      </c>
      <c r="K4" s="394">
        <v>1</v>
      </c>
      <c r="N4" s="390"/>
    </row>
    <row r="5" spans="1:14" ht="14.4" x14ac:dyDescent="0.25">
      <c r="G5" s="341" t="s">
        <v>437</v>
      </c>
      <c r="J5" s="393" t="s">
        <v>478</v>
      </c>
      <c r="K5" s="394">
        <v>1</v>
      </c>
      <c r="N5" s="390"/>
    </row>
    <row r="6" spans="1:14" s="240" customFormat="1" ht="14.4" x14ac:dyDescent="0.3">
      <c r="A6" s="239"/>
      <c r="B6" s="239"/>
      <c r="C6" s="323">
        <v>2011</v>
      </c>
      <c r="D6" s="325">
        <v>2012</v>
      </c>
      <c r="E6" s="327">
        <v>2013</v>
      </c>
      <c r="G6" s="395">
        <f>('B7 Performance corr fusions'!O6+'B7 Performance corr fusions'!P6+'B7 Performance corr fusions'!Q6)/('B7 Performance corr fusions'!J6+'B7 Performance corr fusions'!L6+'B7 Performance corr fusions'!N6)*100</f>
        <v>2.389565012826262</v>
      </c>
      <c r="J6" s="393" t="s">
        <v>479</v>
      </c>
      <c r="K6" s="394">
        <v>11</v>
      </c>
      <c r="N6" s="390"/>
    </row>
    <row r="7" spans="1:14" s="240" customFormat="1" ht="39.6" x14ac:dyDescent="0.3">
      <c r="A7" s="239"/>
      <c r="B7" s="239"/>
      <c r="C7" s="233" t="s">
        <v>414</v>
      </c>
      <c r="D7" s="234" t="s">
        <v>414</v>
      </c>
      <c r="E7" s="235" t="s">
        <v>414</v>
      </c>
      <c r="F7" s="339" t="s">
        <v>434</v>
      </c>
      <c r="G7" s="339" t="s">
        <v>435</v>
      </c>
      <c r="J7" s="393" t="s">
        <v>480</v>
      </c>
      <c r="K7" s="394">
        <v>20</v>
      </c>
      <c r="N7" s="390"/>
    </row>
    <row r="8" spans="1:14" s="240" customFormat="1" ht="14.4" x14ac:dyDescent="0.3">
      <c r="A8" s="241">
        <v>2130</v>
      </c>
      <c r="B8" s="242" t="s">
        <v>109</v>
      </c>
      <c r="C8" s="243">
        <f>'B8 Incidences '!$F64</f>
        <v>7.8247544738914692E-3</v>
      </c>
      <c r="D8" s="236">
        <f>'B8 Incidences '!$L64</f>
        <v>6.9436003397918252E-3</v>
      </c>
      <c r="E8" s="338">
        <f>'B8 Incidences '!R64</f>
        <v>6.7940461390581137E-3</v>
      </c>
      <c r="F8" s="340">
        <f t="shared" ref="F8:F39" si="0">C8+D8+E8</f>
        <v>2.1562400952741409E-2</v>
      </c>
      <c r="G8" s="340">
        <f t="shared" ref="G8:G39" si="1">F8/3</f>
        <v>7.187466984247136E-3</v>
      </c>
      <c r="J8" s="393" t="s">
        <v>481</v>
      </c>
      <c r="K8" s="394">
        <v>24</v>
      </c>
      <c r="N8" s="390"/>
    </row>
    <row r="9" spans="1:14" s="240" customFormat="1" ht="14.4" x14ac:dyDescent="0.3">
      <c r="A9" s="245">
        <v>2051</v>
      </c>
      <c r="B9" s="246" t="s">
        <v>310</v>
      </c>
      <c r="C9" s="247">
        <f>'B8 Incidences '!$F36</f>
        <v>1.4934661353607945E-2</v>
      </c>
      <c r="D9" s="238">
        <f>'B8 Incidences '!$L36</f>
        <v>1.2115367672271827E-2</v>
      </c>
      <c r="E9" s="338">
        <f>'B8 Incidences '!R36</f>
        <v>1.1403901780720553E-2</v>
      </c>
      <c r="F9" s="340">
        <f t="shared" si="0"/>
        <v>3.8453930806600325E-2</v>
      </c>
      <c r="G9" s="340">
        <f t="shared" si="1"/>
        <v>1.2817976935533442E-2</v>
      </c>
      <c r="J9" s="393" t="s">
        <v>482</v>
      </c>
      <c r="K9" s="394">
        <v>37</v>
      </c>
      <c r="N9" s="390"/>
    </row>
    <row r="10" spans="1:14" s="240" customFormat="1" ht="14.4" x14ac:dyDescent="0.3">
      <c r="A10" s="245">
        <v>2300</v>
      </c>
      <c r="B10" s="246" t="s">
        <v>272</v>
      </c>
      <c r="C10" s="247">
        <f>'B8 Incidences '!$F151</f>
        <v>1.7808908786093362E-2</v>
      </c>
      <c r="D10" s="238">
        <f>'B8 Incidences '!$L151</f>
        <v>1.1983174852345301E-2</v>
      </c>
      <c r="E10" s="338">
        <f>'B8 Incidences '!R151</f>
        <v>1.1507349515339714E-2</v>
      </c>
      <c r="F10" s="340">
        <f t="shared" si="0"/>
        <v>4.1299433153778375E-2</v>
      </c>
      <c r="G10" s="340">
        <f t="shared" si="1"/>
        <v>1.3766477717926126E-2</v>
      </c>
      <c r="J10" s="393" t="s">
        <v>472</v>
      </c>
      <c r="K10" s="394">
        <v>36</v>
      </c>
      <c r="N10" s="390"/>
    </row>
    <row r="11" spans="1:14" s="240" customFormat="1" ht="14.4" x14ac:dyDescent="0.3">
      <c r="A11" s="245">
        <v>2049</v>
      </c>
      <c r="B11" s="246" t="s">
        <v>55</v>
      </c>
      <c r="C11" s="247">
        <f>'B8 Incidences '!$F34</f>
        <v>1.9703752292093021E-2</v>
      </c>
      <c r="D11" s="238">
        <f>'B8 Incidences '!$L34</f>
        <v>1.151946634587637E-2</v>
      </c>
      <c r="E11" s="338">
        <f>'B8 Incidences '!R34</f>
        <v>1.1561441408464625E-2</v>
      </c>
      <c r="F11" s="340">
        <f t="shared" si="0"/>
        <v>4.2784660046434012E-2</v>
      </c>
      <c r="G11" s="340">
        <f t="shared" si="1"/>
        <v>1.4261553348811337E-2</v>
      </c>
      <c r="J11" s="393" t="s">
        <v>473</v>
      </c>
      <c r="K11" s="394">
        <v>15</v>
      </c>
      <c r="N11" s="390"/>
    </row>
    <row r="12" spans="1:14" s="240" customFormat="1" ht="14.4" x14ac:dyDescent="0.3">
      <c r="A12" s="245">
        <v>2008</v>
      </c>
      <c r="B12" s="246" t="s">
        <v>4</v>
      </c>
      <c r="C12" s="247">
        <f>'B8 Incidences '!$F10</f>
        <v>1.1800157094905325E-2</v>
      </c>
      <c r="D12" s="238">
        <f>'B8 Incidences '!$L10</f>
        <v>1.5341335287970614E-2</v>
      </c>
      <c r="E12" s="338">
        <f>'B8 Incidences '!R10</f>
        <v>1.6122910307882279E-2</v>
      </c>
      <c r="F12" s="340">
        <f t="shared" si="0"/>
        <v>4.3264402690758222E-2</v>
      </c>
      <c r="G12" s="340">
        <f t="shared" si="1"/>
        <v>1.4421467563586074E-2</v>
      </c>
      <c r="J12" s="393" t="s">
        <v>474</v>
      </c>
      <c r="K12" s="394">
        <v>10</v>
      </c>
      <c r="N12" s="390"/>
    </row>
    <row r="13" spans="1:14" s="240" customFormat="1" ht="14.4" x14ac:dyDescent="0.3">
      <c r="A13" s="245">
        <v>2039</v>
      </c>
      <c r="B13" s="246" t="s">
        <v>41</v>
      </c>
      <c r="C13" s="247">
        <f>'B8 Incidences '!$F27</f>
        <v>1.5834827641960161E-2</v>
      </c>
      <c r="D13" s="238">
        <f>'B8 Incidences '!$L27</f>
        <v>1.3261637112684067E-2</v>
      </c>
      <c r="E13" s="338">
        <f>'B8 Incidences '!R27</f>
        <v>1.4319512728128574E-2</v>
      </c>
      <c r="F13" s="340">
        <f t="shared" si="0"/>
        <v>4.3415977482772802E-2</v>
      </c>
      <c r="G13" s="340">
        <f t="shared" si="1"/>
        <v>1.4471992494257601E-2</v>
      </c>
      <c r="J13" s="393" t="s">
        <v>475</v>
      </c>
      <c r="K13" s="394">
        <v>2</v>
      </c>
      <c r="N13" s="390"/>
    </row>
    <row r="14" spans="1:14" s="240" customFormat="1" ht="14.4" x14ac:dyDescent="0.3">
      <c r="A14" s="245">
        <v>2266</v>
      </c>
      <c r="B14" s="246" t="s">
        <v>232</v>
      </c>
      <c r="C14" s="247">
        <f>'B8 Incidences '!$F130</f>
        <v>1.6431669894989797E-2</v>
      </c>
      <c r="D14" s="238">
        <f>'B8 Incidences '!$L130</f>
        <v>1.4694739161428435E-2</v>
      </c>
      <c r="E14" s="338">
        <f>'B8 Incidences '!R130</f>
        <v>1.4137867128783201E-2</v>
      </c>
      <c r="F14" s="340">
        <f t="shared" si="0"/>
        <v>4.526427618520143E-2</v>
      </c>
      <c r="G14" s="340">
        <f t="shared" si="1"/>
        <v>1.508809206173381E-2</v>
      </c>
      <c r="J14" s="393" t="s">
        <v>476</v>
      </c>
      <c r="K14" s="394">
        <v>3</v>
      </c>
      <c r="N14" s="390"/>
    </row>
    <row r="15" spans="1:14" s="240" customFormat="1" ht="14.4" x14ac:dyDescent="0.3">
      <c r="A15" s="245">
        <v>2251</v>
      </c>
      <c r="B15" s="246" t="s">
        <v>213</v>
      </c>
      <c r="C15" s="247">
        <f>'B8 Incidences '!$F120</f>
        <v>1.9101900691563097E-2</v>
      </c>
      <c r="D15" s="238">
        <f>'B8 Incidences '!$L120</f>
        <v>1.3958154086765288E-2</v>
      </c>
      <c r="E15" s="338">
        <f>'B8 Incidences '!R120</f>
        <v>1.234262519164624E-2</v>
      </c>
      <c r="F15" s="340">
        <f t="shared" si="0"/>
        <v>4.540267996997463E-2</v>
      </c>
      <c r="G15" s="340">
        <f t="shared" si="1"/>
        <v>1.5134226656658209E-2</v>
      </c>
      <c r="J15" s="393" t="s">
        <v>477</v>
      </c>
      <c r="K15" s="394">
        <v>3</v>
      </c>
      <c r="N15" s="390"/>
    </row>
    <row r="16" spans="1:14" s="261" customFormat="1" ht="14.4" x14ac:dyDescent="0.3">
      <c r="A16" s="258">
        <v>2022</v>
      </c>
      <c r="B16" s="259" t="s">
        <v>22</v>
      </c>
      <c r="C16" s="247">
        <f>'B8 Incidences '!$F18</f>
        <v>1.2974595486186883E-2</v>
      </c>
      <c r="D16" s="238">
        <f>'B8 Incidences '!$L18</f>
        <v>1.6422356187116488E-2</v>
      </c>
      <c r="E16" s="338">
        <f>'B8 Incidences '!R18</f>
        <v>1.6866207743863767E-2</v>
      </c>
      <c r="F16" s="340">
        <f t="shared" si="0"/>
        <v>4.6263159417167132E-2</v>
      </c>
      <c r="G16" s="340">
        <f t="shared" si="1"/>
        <v>1.542105313905571E-2</v>
      </c>
      <c r="J16" s="391"/>
      <c r="K16" s="392"/>
      <c r="N16" s="390"/>
    </row>
    <row r="17" spans="1:14" s="240" customFormat="1" ht="14.4" x14ac:dyDescent="0.3">
      <c r="A17" s="245">
        <v>2162</v>
      </c>
      <c r="B17" s="246" t="s">
        <v>112</v>
      </c>
      <c r="C17" s="247">
        <f>'B8 Incidences '!$F80</f>
        <v>1.7891421327743642E-2</v>
      </c>
      <c r="D17" s="238">
        <f>'B8 Incidences '!$L80</f>
        <v>1.4165772093861091E-2</v>
      </c>
      <c r="E17" s="338">
        <f>'B8 Incidences '!R80</f>
        <v>1.468166570548504E-2</v>
      </c>
      <c r="F17" s="340">
        <f t="shared" si="0"/>
        <v>4.6738859127089777E-2</v>
      </c>
      <c r="G17" s="340">
        <f t="shared" si="1"/>
        <v>1.5579619709029926E-2</v>
      </c>
      <c r="J17" s="391"/>
      <c r="K17" s="392"/>
      <c r="N17" s="390"/>
    </row>
    <row r="18" spans="1:14" s="240" customFormat="1" x14ac:dyDescent="0.3">
      <c r="A18" s="245">
        <v>2128</v>
      </c>
      <c r="B18" s="246" t="s">
        <v>105</v>
      </c>
      <c r="C18" s="247">
        <f>'B8 Incidences '!$F62</f>
        <v>1.417997591162606E-2</v>
      </c>
      <c r="D18" s="238">
        <f>'B8 Incidences '!$L62</f>
        <v>1.7000561884711038E-2</v>
      </c>
      <c r="E18" s="338">
        <f>'B8 Incidences '!R62</f>
        <v>1.5578350246358997E-2</v>
      </c>
      <c r="F18" s="340">
        <f t="shared" si="0"/>
        <v>4.6758888042696095E-2</v>
      </c>
      <c r="G18" s="340">
        <f t="shared" si="1"/>
        <v>1.5586296014232032E-2</v>
      </c>
      <c r="K18" s="240">
        <f>SUM(K4:K17)</f>
        <v>163</v>
      </c>
    </row>
    <row r="19" spans="1:14" s="240" customFormat="1" x14ac:dyDescent="0.3">
      <c r="A19" s="245">
        <v>2301</v>
      </c>
      <c r="B19" s="246" t="s">
        <v>274</v>
      </c>
      <c r="C19" s="247">
        <f>'B8 Incidences '!$F152</f>
        <v>1.4761263755151108E-2</v>
      </c>
      <c r="D19" s="238">
        <f>'B8 Incidences '!$L152</f>
        <v>1.5700746764279978E-2</v>
      </c>
      <c r="E19" s="338">
        <f>'B8 Incidences '!R152</f>
        <v>1.6552308779953978E-2</v>
      </c>
      <c r="F19" s="340">
        <f t="shared" si="0"/>
        <v>4.7014319299385064E-2</v>
      </c>
      <c r="G19" s="340">
        <f t="shared" si="1"/>
        <v>1.5671439766461688E-2</v>
      </c>
    </row>
    <row r="20" spans="1:14" s="240" customFormat="1" x14ac:dyDescent="0.3">
      <c r="A20" s="245">
        <v>2259</v>
      </c>
      <c r="B20" s="246" t="s">
        <v>221</v>
      </c>
      <c r="C20" s="247">
        <f>'B8 Incidences '!$F124</f>
        <v>1.5941854082201411E-2</v>
      </c>
      <c r="D20" s="238">
        <f>'B8 Incidences '!$L124</f>
        <v>1.4917966501234959E-2</v>
      </c>
      <c r="E20" s="338">
        <f>'B8 Incidences '!R124</f>
        <v>1.6306967738433403E-2</v>
      </c>
      <c r="F20" s="340">
        <f t="shared" si="0"/>
        <v>4.7166788321869775E-2</v>
      </c>
      <c r="G20" s="340">
        <f t="shared" si="1"/>
        <v>1.5722262773956591E-2</v>
      </c>
    </row>
    <row r="21" spans="1:14" s="240" customFormat="1" x14ac:dyDescent="0.3">
      <c r="A21" s="245">
        <v>2303</v>
      </c>
      <c r="B21" s="246" t="s">
        <v>278</v>
      </c>
      <c r="C21" s="247">
        <f>'B8 Incidences '!$F154</f>
        <v>2.0364718731012726E-2</v>
      </c>
      <c r="D21" s="238">
        <f>'B8 Incidences '!$L154</f>
        <v>1.3999502646224835E-2</v>
      </c>
      <c r="E21" s="338">
        <f>'B8 Incidences '!R154</f>
        <v>1.3969915733578794E-2</v>
      </c>
      <c r="F21" s="340">
        <f t="shared" si="0"/>
        <v>4.8334137110816355E-2</v>
      </c>
      <c r="G21" s="340">
        <f t="shared" si="1"/>
        <v>1.6111379036938784E-2</v>
      </c>
    </row>
    <row r="22" spans="1:14" s="240" customFormat="1" x14ac:dyDescent="0.3">
      <c r="A22" s="245">
        <v>2010</v>
      </c>
      <c r="B22" s="246" t="s">
        <v>8</v>
      </c>
      <c r="C22" s="247">
        <f>'B8 Incidences '!$F12</f>
        <v>1.0449837041560387E-2</v>
      </c>
      <c r="D22" s="238">
        <f>'B8 Incidences '!$L12</f>
        <v>1.960995136958613E-2</v>
      </c>
      <c r="E22" s="338">
        <f>'B8 Incidences '!R12</f>
        <v>1.8381300909593442E-2</v>
      </c>
      <c r="F22" s="340">
        <f t="shared" si="0"/>
        <v>4.8441089320739955E-2</v>
      </c>
      <c r="G22" s="340">
        <f t="shared" si="1"/>
        <v>1.6147029773579985E-2</v>
      </c>
    </row>
    <row r="23" spans="1:14" s="240" customFormat="1" x14ac:dyDescent="0.3">
      <c r="A23" s="245">
        <v>2302</v>
      </c>
      <c r="B23" s="246" t="s">
        <v>276</v>
      </c>
      <c r="C23" s="247">
        <f>'B8 Incidences '!$F153</f>
        <v>2.1900780151703627E-2</v>
      </c>
      <c r="D23" s="238">
        <f>'B8 Incidences '!$L153</f>
        <v>1.3875654018600381E-2</v>
      </c>
      <c r="E23" s="338">
        <f>'B8 Incidences '!R153</f>
        <v>1.4074854112134142E-2</v>
      </c>
      <c r="F23" s="340">
        <f t="shared" si="0"/>
        <v>4.985128828243815E-2</v>
      </c>
      <c r="G23" s="340">
        <f t="shared" si="1"/>
        <v>1.661709609414605E-2</v>
      </c>
    </row>
    <row r="24" spans="1:14" s="240" customFormat="1" x14ac:dyDescent="0.3">
      <c r="A24" s="245">
        <v>2004</v>
      </c>
      <c r="B24" s="246" t="s">
        <v>1</v>
      </c>
      <c r="C24" s="247">
        <f>'B8 Incidences '!$F8</f>
        <v>1.2194248859042535E-2</v>
      </c>
      <c r="D24" s="238">
        <f>'B8 Incidences '!$L8</f>
        <v>1.8791591449009697E-2</v>
      </c>
      <c r="E24" s="338">
        <f>'B8 Incidences '!$R8</f>
        <v>1.9169243480759778E-2</v>
      </c>
      <c r="F24" s="340">
        <f t="shared" si="0"/>
        <v>5.0155083788812005E-2</v>
      </c>
      <c r="G24" s="340">
        <f t="shared" si="1"/>
        <v>1.6718361262937336E-2</v>
      </c>
    </row>
    <row r="25" spans="1:14" s="240" customFormat="1" x14ac:dyDescent="0.3">
      <c r="A25" s="245">
        <v>2024</v>
      </c>
      <c r="B25" s="246" t="s">
        <v>24</v>
      </c>
      <c r="C25" s="247">
        <f>'B8 Incidences '!$F19</f>
        <v>1.6454073134301549E-2</v>
      </c>
      <c r="D25" s="238">
        <f>'B8 Incidences '!$L19</f>
        <v>1.7728205605164388E-2</v>
      </c>
      <c r="E25" s="338">
        <f>'B8 Incidences '!R19</f>
        <v>1.6060930586136141E-2</v>
      </c>
      <c r="F25" s="340">
        <f t="shared" si="0"/>
        <v>5.0243209325602077E-2</v>
      </c>
      <c r="G25" s="340">
        <f t="shared" si="1"/>
        <v>1.6747736441867358E-2</v>
      </c>
    </row>
    <row r="26" spans="1:14" s="240" customFormat="1" x14ac:dyDescent="0.3">
      <c r="A26" s="245">
        <v>2299</v>
      </c>
      <c r="B26" s="246" t="s">
        <v>270</v>
      </c>
      <c r="C26" s="247">
        <f>'B8 Incidences '!$F150</f>
        <v>2.2854970635851245E-2</v>
      </c>
      <c r="D26" s="238">
        <f>'B8 Incidences '!$L150</f>
        <v>1.3981544755905833E-2</v>
      </c>
      <c r="E26" s="338">
        <f>'B8 Incidences '!R150</f>
        <v>1.3470066200097112E-2</v>
      </c>
      <c r="F26" s="340">
        <f t="shared" si="0"/>
        <v>5.0306581591854194E-2</v>
      </c>
      <c r="G26" s="340">
        <f t="shared" si="1"/>
        <v>1.6768860530618063E-2</v>
      </c>
    </row>
    <row r="27" spans="1:14" s="240" customFormat="1" x14ac:dyDescent="0.3">
      <c r="A27" s="245">
        <v>2308</v>
      </c>
      <c r="B27" s="246" t="s">
        <v>308</v>
      </c>
      <c r="C27" s="247">
        <f>'B8 Incidences '!$F159</f>
        <v>1.6284440808991753E-2</v>
      </c>
      <c r="D27" s="238">
        <f>'B8 Incidences '!$L159</f>
        <v>1.7073136191521957E-2</v>
      </c>
      <c r="E27" s="338">
        <f>'B8 Incidences '!R159</f>
        <v>1.7393831593782251E-2</v>
      </c>
      <c r="F27" s="340">
        <f t="shared" si="0"/>
        <v>5.0751408594295964E-2</v>
      </c>
      <c r="G27" s="340">
        <f t="shared" si="1"/>
        <v>1.6917136198098655E-2</v>
      </c>
    </row>
    <row r="28" spans="1:14" s="240" customFormat="1" x14ac:dyDescent="0.3">
      <c r="A28" s="245">
        <v>2261</v>
      </c>
      <c r="B28" s="246" t="s">
        <v>225</v>
      </c>
      <c r="C28" s="247">
        <f>'B8 Incidences '!$F126</f>
        <v>1.8647584557224411E-2</v>
      </c>
      <c r="D28" s="238">
        <f>'B8 Incidences '!$L126</f>
        <v>1.7951229045193993E-2</v>
      </c>
      <c r="E28" s="338">
        <f>'B8 Incidences '!R126</f>
        <v>1.4368767894990498E-2</v>
      </c>
      <c r="F28" s="340">
        <f t="shared" si="0"/>
        <v>5.0967581497408897E-2</v>
      </c>
      <c r="G28" s="340">
        <f t="shared" si="1"/>
        <v>1.6989193832469631E-2</v>
      </c>
    </row>
    <row r="29" spans="1:14" s="240" customFormat="1" x14ac:dyDescent="0.3">
      <c r="A29" s="245">
        <v>2050</v>
      </c>
      <c r="B29" s="246" t="s">
        <v>31</v>
      </c>
      <c r="C29" s="247">
        <f>'B8 Incidences '!$F35</f>
        <v>2.0843660375076699E-2</v>
      </c>
      <c r="D29" s="238">
        <f>'B8 Incidences '!$L35</f>
        <v>1.4709801370608934E-2</v>
      </c>
      <c r="E29" s="338">
        <f>'B8 Incidences '!R35</f>
        <v>1.5983480988362025E-2</v>
      </c>
      <c r="F29" s="340">
        <f t="shared" si="0"/>
        <v>5.1536942734047658E-2</v>
      </c>
      <c r="G29" s="340">
        <f t="shared" si="1"/>
        <v>1.7178980911349218E-2</v>
      </c>
    </row>
    <row r="30" spans="1:14" s="240" customFormat="1" x14ac:dyDescent="0.3">
      <c r="A30" s="245">
        <v>2121</v>
      </c>
      <c r="B30" s="246" t="s">
        <v>92</v>
      </c>
      <c r="C30" s="247">
        <f>'B8 Incidences '!$F57</f>
        <v>2.1878523335890535E-2</v>
      </c>
      <c r="D30" s="238">
        <f>'B8 Incidences '!$L57</f>
        <v>1.5093620703458814E-2</v>
      </c>
      <c r="E30" s="338">
        <f>'B8 Incidences '!R57</f>
        <v>1.4780124403590089E-2</v>
      </c>
      <c r="F30" s="340">
        <f t="shared" si="0"/>
        <v>5.1752268442939439E-2</v>
      </c>
      <c r="G30" s="340">
        <f t="shared" si="1"/>
        <v>1.7250756147646481E-2</v>
      </c>
    </row>
    <row r="31" spans="1:14" s="240" customFormat="1" x14ac:dyDescent="0.3">
      <c r="A31" s="245">
        <v>2179</v>
      </c>
      <c r="B31" s="246" t="s">
        <v>154</v>
      </c>
      <c r="C31" s="247">
        <f>'B8 Incidences '!$F88</f>
        <v>2.4184086272002941E-2</v>
      </c>
      <c r="D31" s="238">
        <f>'B8 Incidences '!$L88</f>
        <v>1.3886639974573196E-2</v>
      </c>
      <c r="E31" s="338">
        <f>'B8 Incidences '!R88</f>
        <v>1.4067736102135582E-2</v>
      </c>
      <c r="F31" s="340">
        <f t="shared" si="0"/>
        <v>5.2138462348711716E-2</v>
      </c>
      <c r="G31" s="340">
        <f t="shared" si="1"/>
        <v>1.7379487449570571E-2</v>
      </c>
    </row>
    <row r="32" spans="1:14" s="240" customFormat="1" x14ac:dyDescent="0.3">
      <c r="A32" s="245">
        <v>2336</v>
      </c>
      <c r="B32" s="246" t="s">
        <v>306</v>
      </c>
      <c r="C32" s="247">
        <f>'B8 Incidences '!$F168</f>
        <v>1.3772098225002508E-2</v>
      </c>
      <c r="D32" s="238">
        <f>'B8 Incidences '!$L168</f>
        <v>1.9200499318132475E-2</v>
      </c>
      <c r="E32" s="338">
        <f>'B8 Incidences '!R168</f>
        <v>1.9867848279853443E-2</v>
      </c>
      <c r="F32" s="340">
        <f t="shared" si="0"/>
        <v>5.2840445822988427E-2</v>
      </c>
      <c r="G32" s="340">
        <f t="shared" si="1"/>
        <v>1.7613481940996142E-2</v>
      </c>
    </row>
    <row r="33" spans="1:7" s="240" customFormat="1" x14ac:dyDescent="0.3">
      <c r="A33" s="245">
        <v>2123</v>
      </c>
      <c r="B33" s="246" t="s">
        <v>95</v>
      </c>
      <c r="C33" s="247">
        <f>'B8 Incidences '!$F59</f>
        <v>1.6000030071780524E-2</v>
      </c>
      <c r="D33" s="238">
        <f>'B8 Incidences '!$L59</f>
        <v>1.8381483350835302E-2</v>
      </c>
      <c r="E33" s="338">
        <f>'B8 Incidences '!R59</f>
        <v>1.8601657956476336E-2</v>
      </c>
      <c r="F33" s="340">
        <f t="shared" si="0"/>
        <v>5.2983171379092163E-2</v>
      </c>
      <c r="G33" s="340">
        <f t="shared" si="1"/>
        <v>1.7661057126364055E-2</v>
      </c>
    </row>
    <row r="34" spans="1:7" s="240" customFormat="1" x14ac:dyDescent="0.3">
      <c r="A34" s="258">
        <v>2163</v>
      </c>
      <c r="B34" s="259" t="s">
        <v>387</v>
      </c>
      <c r="C34" s="238">
        <f>'B8 Incidences '!$F81</f>
        <v>2.0843556328431965E-2</v>
      </c>
      <c r="D34" s="238">
        <f>'B8 Incidences '!$L81</f>
        <v>1.6400936905477996E-2</v>
      </c>
      <c r="E34" s="238">
        <f>'B8 Incidences '!R81</f>
        <v>1.5842486176718164E-2</v>
      </c>
      <c r="F34" s="340">
        <f t="shared" si="0"/>
        <v>5.3086979410628128E-2</v>
      </c>
      <c r="G34" s="340">
        <f t="shared" si="1"/>
        <v>1.7695659803542711E-2</v>
      </c>
    </row>
    <row r="35" spans="1:7" s="240" customFormat="1" x14ac:dyDescent="0.3">
      <c r="A35" s="245">
        <v>2129</v>
      </c>
      <c r="B35" s="246" t="s">
        <v>107</v>
      </c>
      <c r="C35" s="247">
        <f>'B8 Incidences '!$F63</f>
        <v>1.577643325851669E-2</v>
      </c>
      <c r="D35" s="238">
        <f>'B8 Incidences '!$L63</f>
        <v>1.8782907519613437E-2</v>
      </c>
      <c r="E35" s="338">
        <f>'B8 Incidences '!R63</f>
        <v>1.8833045635731564E-2</v>
      </c>
      <c r="F35" s="340">
        <f t="shared" si="0"/>
        <v>5.3392386413861688E-2</v>
      </c>
      <c r="G35" s="340">
        <f t="shared" si="1"/>
        <v>1.7797462137953895E-2</v>
      </c>
    </row>
    <row r="36" spans="1:7" s="240" customFormat="1" x14ac:dyDescent="0.3">
      <c r="A36" s="245">
        <v>2137</v>
      </c>
      <c r="B36" s="246" t="s">
        <v>118</v>
      </c>
      <c r="C36" s="247">
        <f>'B8 Incidences '!$F68</f>
        <v>1.3605783461681143E-2</v>
      </c>
      <c r="D36" s="238">
        <f>'B8 Incidences '!$L68</f>
        <v>2.0252672330175771E-2</v>
      </c>
      <c r="E36" s="338">
        <f>'B8 Incidences '!R68</f>
        <v>1.9661865984280113E-2</v>
      </c>
      <c r="F36" s="340">
        <f t="shared" si="0"/>
        <v>5.3520321776137025E-2</v>
      </c>
      <c r="G36" s="340">
        <f t="shared" si="1"/>
        <v>1.7840107258712341E-2</v>
      </c>
    </row>
    <row r="37" spans="1:7" s="240" customFormat="1" x14ac:dyDescent="0.3">
      <c r="A37" s="245">
        <v>2292</v>
      </c>
      <c r="B37" s="246" t="s">
        <v>258</v>
      </c>
      <c r="C37" s="247">
        <f>'B8 Incidences '!$F144</f>
        <v>1.9152216016263199E-2</v>
      </c>
      <c r="D37" s="238">
        <f>'B8 Incidences '!$L144</f>
        <v>1.7496143342376484E-2</v>
      </c>
      <c r="E37" s="338">
        <f>'B8 Incidences '!R144</f>
        <v>1.6885719039809646E-2</v>
      </c>
      <c r="F37" s="340">
        <f t="shared" si="0"/>
        <v>5.3534078398449328E-2</v>
      </c>
      <c r="G37" s="340">
        <f t="shared" si="1"/>
        <v>1.784469279948311E-2</v>
      </c>
    </row>
    <row r="38" spans="1:7" s="240" customFormat="1" x14ac:dyDescent="0.3">
      <c r="A38" s="245">
        <v>2040</v>
      </c>
      <c r="B38" s="246" t="s">
        <v>43</v>
      </c>
      <c r="C38" s="247">
        <f>'B8 Incidences '!$F28</f>
        <v>2.4890017620103341E-2</v>
      </c>
      <c r="D38" s="238">
        <f>'B8 Incidences '!$L28</f>
        <v>1.4953055112986165E-2</v>
      </c>
      <c r="E38" s="338">
        <f>'B8 Incidences '!R28</f>
        <v>1.3703393728048316E-2</v>
      </c>
      <c r="F38" s="340">
        <f t="shared" si="0"/>
        <v>5.3546466461137823E-2</v>
      </c>
      <c r="G38" s="340">
        <f t="shared" si="1"/>
        <v>1.7848822153712609E-2</v>
      </c>
    </row>
    <row r="39" spans="1:7" s="240" customFormat="1" x14ac:dyDescent="0.3">
      <c r="A39" s="245">
        <v>2134</v>
      </c>
      <c r="B39" s="246" t="s">
        <v>114</v>
      </c>
      <c r="C39" s="247">
        <f>'B8 Incidences '!$F66</f>
        <v>1.6868867177252108E-2</v>
      </c>
      <c r="D39" s="238">
        <f>'B8 Incidences '!$L66</f>
        <v>1.7936703483445501E-2</v>
      </c>
      <c r="E39" s="338">
        <f>'B8 Incidences '!R66</f>
        <v>1.9156516399346353E-2</v>
      </c>
      <c r="F39" s="340">
        <f t="shared" si="0"/>
        <v>5.3962087060043962E-2</v>
      </c>
      <c r="G39" s="340">
        <f t="shared" si="1"/>
        <v>1.7987362353347986E-2</v>
      </c>
    </row>
    <row r="40" spans="1:7" s="240" customFormat="1" x14ac:dyDescent="0.3">
      <c r="A40" s="245">
        <v>2089</v>
      </c>
      <c r="B40" s="246" t="s">
        <v>74</v>
      </c>
      <c r="C40" s="247">
        <f>'B8 Incidences '!$F47</f>
        <v>9.5586288897637987E-3</v>
      </c>
      <c r="D40" s="238">
        <f>'B8 Incidences '!$L47</f>
        <v>2.3538044064184693E-2</v>
      </c>
      <c r="E40" s="338">
        <f>'B8 Incidences '!R47</f>
        <v>2.0878405438713245E-2</v>
      </c>
      <c r="F40" s="340">
        <f t="shared" ref="F40:F71" si="2">C40+D40+E40</f>
        <v>5.3975078392661732E-2</v>
      </c>
      <c r="G40" s="340">
        <f t="shared" ref="G40:G71" si="3">F40/3</f>
        <v>1.7991692797553912E-2</v>
      </c>
    </row>
    <row r="41" spans="1:7" s="240" customFormat="1" x14ac:dyDescent="0.3">
      <c r="A41" s="245">
        <v>2225</v>
      </c>
      <c r="B41" s="246" t="s">
        <v>196</v>
      </c>
      <c r="C41" s="247">
        <f>'B8 Incidences '!$F110</f>
        <v>1.9838920196683124E-2</v>
      </c>
      <c r="D41" s="238">
        <f>'B8 Incidences '!$L110</f>
        <v>1.7829268511097167E-2</v>
      </c>
      <c r="E41" s="338">
        <f>'B8 Incidences '!R110</f>
        <v>1.6494929099706658E-2</v>
      </c>
      <c r="F41" s="340">
        <f t="shared" si="2"/>
        <v>5.4163117807486949E-2</v>
      </c>
      <c r="G41" s="340">
        <f t="shared" si="3"/>
        <v>1.805437260249565E-2</v>
      </c>
    </row>
    <row r="42" spans="1:7" s="240" customFormat="1" x14ac:dyDescent="0.3">
      <c r="A42" s="245">
        <v>2097</v>
      </c>
      <c r="B42" s="246" t="s">
        <v>78</v>
      </c>
      <c r="C42" s="247">
        <f>'B8 Incidences '!$F49</f>
        <v>1.7921377769870669E-2</v>
      </c>
      <c r="D42" s="238">
        <f>'B8 Incidences '!$L49</f>
        <v>1.8516396922631431E-2</v>
      </c>
      <c r="E42" s="338">
        <f>'B8 Incidences '!R49</f>
        <v>1.8027067607353051E-2</v>
      </c>
      <c r="F42" s="340">
        <f t="shared" si="2"/>
        <v>5.4464842299855154E-2</v>
      </c>
      <c r="G42" s="340">
        <f t="shared" si="3"/>
        <v>1.8154947433285051E-2</v>
      </c>
    </row>
    <row r="43" spans="1:7" s="240" customFormat="1" x14ac:dyDescent="0.3">
      <c r="A43" s="245">
        <v>2171</v>
      </c>
      <c r="B43" s="246" t="s">
        <v>142</v>
      </c>
      <c r="C43" s="247">
        <f>'B8 Incidences '!$F82</f>
        <v>1.9029375763287355E-2</v>
      </c>
      <c r="D43" s="238">
        <f>'B8 Incidences '!$L82</f>
        <v>1.7909027430317297E-2</v>
      </c>
      <c r="E43" s="338">
        <f>'B8 Incidences '!R82</f>
        <v>1.7574490152905426E-2</v>
      </c>
      <c r="F43" s="340">
        <f t="shared" si="2"/>
        <v>5.4512893346510077E-2</v>
      </c>
      <c r="G43" s="340">
        <f t="shared" si="3"/>
        <v>1.8170964448836691E-2</v>
      </c>
    </row>
    <row r="44" spans="1:7" s="240" customFormat="1" x14ac:dyDescent="0.3">
      <c r="A44" s="245">
        <v>2281</v>
      </c>
      <c r="B44" s="246" t="s">
        <v>253</v>
      </c>
      <c r="C44" s="247">
        <f>'B8 Incidences '!$F141</f>
        <v>1.5923849200033476E-2</v>
      </c>
      <c r="D44" s="238">
        <f>'B8 Incidences '!$L141</f>
        <v>1.9881043752389974E-2</v>
      </c>
      <c r="E44" s="338">
        <f>'B8 Incidences '!R141</f>
        <v>1.9293826353836974E-2</v>
      </c>
      <c r="F44" s="340">
        <f t="shared" si="2"/>
        <v>5.5098719306260424E-2</v>
      </c>
      <c r="G44" s="340">
        <f t="shared" si="3"/>
        <v>1.8366239768753474E-2</v>
      </c>
    </row>
    <row r="45" spans="1:7" s="240" customFormat="1" x14ac:dyDescent="0.3">
      <c r="A45" s="245">
        <v>2185</v>
      </c>
      <c r="B45" s="246" t="s">
        <v>160</v>
      </c>
      <c r="C45" s="247">
        <f>'B8 Incidences '!$F91</f>
        <v>1.3008460199485794E-2</v>
      </c>
      <c r="D45" s="238">
        <f>'B8 Incidences '!$L91</f>
        <v>2.0542097414396051E-2</v>
      </c>
      <c r="E45" s="338">
        <f>'B8 Incidences '!R91</f>
        <v>2.1855150320883712E-2</v>
      </c>
      <c r="F45" s="340">
        <f t="shared" si="2"/>
        <v>5.5405707934765555E-2</v>
      </c>
      <c r="G45" s="340">
        <f t="shared" si="3"/>
        <v>1.846856931158852E-2</v>
      </c>
    </row>
    <row r="46" spans="1:7" s="240" customFormat="1" x14ac:dyDescent="0.3">
      <c r="A46" s="245">
        <v>2296</v>
      </c>
      <c r="B46" s="246" t="s">
        <v>266</v>
      </c>
      <c r="C46" s="247">
        <f>'B8 Incidences '!$F148</f>
        <v>2.1695474095682302E-2</v>
      </c>
      <c r="D46" s="238">
        <f>'B8 Incidences '!$L148</f>
        <v>1.7017640169759776E-2</v>
      </c>
      <c r="E46" s="338">
        <f>'B8 Incidences '!R148</f>
        <v>1.6868708671985002E-2</v>
      </c>
      <c r="F46" s="340">
        <f t="shared" si="2"/>
        <v>5.5581822937427083E-2</v>
      </c>
      <c r="G46" s="340">
        <f t="shared" si="3"/>
        <v>1.8527274312475694E-2</v>
      </c>
    </row>
    <row r="47" spans="1:7" s="240" customFormat="1" x14ac:dyDescent="0.3">
      <c r="A47" s="245">
        <v>2115</v>
      </c>
      <c r="B47" s="246" t="s">
        <v>81</v>
      </c>
      <c r="C47" s="247">
        <f>'B8 Incidences '!$F55</f>
        <v>1.6586283974855384E-2</v>
      </c>
      <c r="D47" s="238">
        <f>'B8 Incidences '!$L55</f>
        <v>1.9767090590012904E-2</v>
      </c>
      <c r="E47" s="338">
        <f>'B8 Incidences '!R55</f>
        <v>1.9233149041803777E-2</v>
      </c>
      <c r="F47" s="340">
        <f t="shared" si="2"/>
        <v>5.5586523606672059E-2</v>
      </c>
      <c r="G47" s="340">
        <f t="shared" si="3"/>
        <v>1.852884120222402E-2</v>
      </c>
    </row>
    <row r="48" spans="1:7" s="240" customFormat="1" x14ac:dyDescent="0.3">
      <c r="A48" s="245">
        <v>2291</v>
      </c>
      <c r="B48" s="246" t="s">
        <v>385</v>
      </c>
      <c r="C48" s="247">
        <f>'B8 Incidences '!$F143</f>
        <v>2.3708249754035619E-2</v>
      </c>
      <c r="D48" s="238">
        <f>'B8 Incidences '!$L143</f>
        <v>1.5856504597692476E-2</v>
      </c>
      <c r="E48" s="338">
        <f>'B8 Incidences '!R143</f>
        <v>1.602388689451319E-2</v>
      </c>
      <c r="F48" s="340">
        <f t="shared" si="2"/>
        <v>5.5588641246241285E-2</v>
      </c>
      <c r="G48" s="340">
        <f t="shared" si="3"/>
        <v>1.852954708208043E-2</v>
      </c>
    </row>
    <row r="49" spans="1:7" s="240" customFormat="1" x14ac:dyDescent="0.3">
      <c r="A49" s="245">
        <v>2079</v>
      </c>
      <c r="B49" s="246" t="s">
        <v>68</v>
      </c>
      <c r="C49" s="247">
        <f>'B8 Incidences '!$F44</f>
        <v>2.4238591129782695E-2</v>
      </c>
      <c r="D49" s="238">
        <f>'B8 Incidences '!$L44</f>
        <v>1.6219467104500184E-2</v>
      </c>
      <c r="E49" s="338">
        <f>'B8 Incidences '!R44</f>
        <v>1.5713221919526885E-2</v>
      </c>
      <c r="F49" s="340">
        <f t="shared" si="2"/>
        <v>5.6171280153809761E-2</v>
      </c>
      <c r="G49" s="340">
        <f t="shared" si="3"/>
        <v>1.8723760051269921E-2</v>
      </c>
    </row>
    <row r="50" spans="1:7" s="240" customFormat="1" x14ac:dyDescent="0.3">
      <c r="A50" s="245">
        <v>2194</v>
      </c>
      <c r="B50" s="246" t="s">
        <v>167</v>
      </c>
      <c r="C50" s="247">
        <f>'B8 Incidences '!$F95</f>
        <v>1.5213166809063813E-2</v>
      </c>
      <c r="D50" s="238">
        <f>'B8 Incidences '!$L95</f>
        <v>2.100369822047007E-2</v>
      </c>
      <c r="E50" s="338">
        <f>'B8 Incidences '!R95</f>
        <v>2.0738023058319548E-2</v>
      </c>
      <c r="F50" s="340">
        <f t="shared" si="2"/>
        <v>5.6954888087853428E-2</v>
      </c>
      <c r="G50" s="340">
        <f t="shared" si="3"/>
        <v>1.8984962695951142E-2</v>
      </c>
    </row>
    <row r="51" spans="1:7" s="261" customFormat="1" x14ac:dyDescent="0.3">
      <c r="A51" s="245">
        <v>2272</v>
      </c>
      <c r="B51" s="246" t="s">
        <v>238</v>
      </c>
      <c r="C51" s="247">
        <f>'B8 Incidences '!$F133</f>
        <v>1.8911521673027756E-2</v>
      </c>
      <c r="D51" s="238">
        <f>'B8 Incidences '!$L133</f>
        <v>1.8800569319573475E-2</v>
      </c>
      <c r="E51" s="338">
        <f>'B8 Incidences '!R133</f>
        <v>1.9244296679927695E-2</v>
      </c>
      <c r="F51" s="340">
        <f t="shared" si="2"/>
        <v>5.6956387672528919E-2</v>
      </c>
      <c r="G51" s="340">
        <f t="shared" si="3"/>
        <v>1.8985462557509641E-2</v>
      </c>
    </row>
    <row r="52" spans="1:7" s="240" customFormat="1" x14ac:dyDescent="0.3">
      <c r="A52" s="245">
        <v>2293</v>
      </c>
      <c r="B52" s="246" t="s">
        <v>260</v>
      </c>
      <c r="C52" s="247">
        <f>'B8 Incidences '!$F145</f>
        <v>2.0722004223545972E-2</v>
      </c>
      <c r="D52" s="238">
        <f>'B8 Incidences '!$L145</f>
        <v>1.8752963691128131E-2</v>
      </c>
      <c r="E52" s="338">
        <f>'B8 Incidences '!R145</f>
        <v>1.80243369469473E-2</v>
      </c>
      <c r="F52" s="340">
        <f t="shared" si="2"/>
        <v>5.74993048616214E-2</v>
      </c>
      <c r="G52" s="340">
        <f t="shared" si="3"/>
        <v>1.9166434953873799E-2</v>
      </c>
    </row>
    <row r="53" spans="1:7" s="240" customFormat="1" x14ac:dyDescent="0.3">
      <c r="A53" s="245">
        <v>2014</v>
      </c>
      <c r="B53" s="246" t="s">
        <v>14</v>
      </c>
      <c r="C53" s="247">
        <f>'B8 Incidences '!$F15</f>
        <v>1.9176263269465074E-2</v>
      </c>
      <c r="D53" s="238">
        <f>'B8 Incidences '!$L15</f>
        <v>1.9697674681269116E-2</v>
      </c>
      <c r="E53" s="338">
        <f>'B8 Incidences '!R15</f>
        <v>1.8715653994775365E-2</v>
      </c>
      <c r="F53" s="340">
        <f t="shared" si="2"/>
        <v>5.7589591945509555E-2</v>
      </c>
      <c r="G53" s="340">
        <f t="shared" si="3"/>
        <v>1.9196530648503185E-2</v>
      </c>
    </row>
    <row r="54" spans="1:7" s="240" customFormat="1" x14ac:dyDescent="0.3">
      <c r="A54" s="245">
        <v>2277</v>
      </c>
      <c r="B54" s="246" t="s">
        <v>245</v>
      </c>
      <c r="C54" s="247">
        <f>'B8 Incidences '!$F137</f>
        <v>2.9597026755309435E-2</v>
      </c>
      <c r="D54" s="238">
        <f>'B8 Incidences '!$L137</f>
        <v>1.4383997941926605E-2</v>
      </c>
      <c r="E54" s="338">
        <f>'B8 Incidences '!R137</f>
        <v>1.3869296775806292E-2</v>
      </c>
      <c r="F54" s="340">
        <f t="shared" si="2"/>
        <v>5.7850321473042331E-2</v>
      </c>
      <c r="G54" s="340">
        <f t="shared" si="3"/>
        <v>1.928344049101411E-2</v>
      </c>
    </row>
    <row r="55" spans="1:7" s="240" customFormat="1" x14ac:dyDescent="0.3">
      <c r="A55" s="245">
        <v>2173</v>
      </c>
      <c r="B55" s="246" t="s">
        <v>146</v>
      </c>
      <c r="C55" s="247">
        <f>'B8 Incidences '!$F84</f>
        <v>1.9438140913967363E-2</v>
      </c>
      <c r="D55" s="238">
        <f>'B8 Incidences '!$L84</f>
        <v>2.0097054789784866E-2</v>
      </c>
      <c r="E55" s="338">
        <f>'B8 Incidences '!R84</f>
        <v>1.8917820164371872E-2</v>
      </c>
      <c r="F55" s="340">
        <f t="shared" si="2"/>
        <v>5.8453015868124104E-2</v>
      </c>
      <c r="G55" s="340">
        <f t="shared" si="3"/>
        <v>1.9484338622708035E-2</v>
      </c>
    </row>
    <row r="56" spans="1:7" s="240" customFormat="1" x14ac:dyDescent="0.3">
      <c r="A56" s="245">
        <v>2243</v>
      </c>
      <c r="B56" s="246" t="s">
        <v>382</v>
      </c>
      <c r="C56" s="247">
        <f>'B8 Incidences '!$F118</f>
        <v>1.9578356349092975E-2</v>
      </c>
      <c r="D56" s="238">
        <f>'B8 Incidences '!$L118</f>
        <v>1.9514099851506674E-2</v>
      </c>
      <c r="E56" s="338">
        <f>'B8 Incidences '!R118</f>
        <v>1.9872569496307439E-2</v>
      </c>
      <c r="F56" s="340">
        <f t="shared" si="2"/>
        <v>5.8965025696907085E-2</v>
      </c>
      <c r="G56" s="340">
        <f t="shared" si="3"/>
        <v>1.9655008565635696E-2</v>
      </c>
    </row>
    <row r="57" spans="1:7" s="240" customFormat="1" x14ac:dyDescent="0.3">
      <c r="A57" s="245">
        <v>2274</v>
      </c>
      <c r="B57" s="246" t="s">
        <v>240</v>
      </c>
      <c r="C57" s="247">
        <f>'B8 Incidences '!$F134</f>
        <v>1.5114357440459237E-2</v>
      </c>
      <c r="D57" s="238">
        <f>'B8 Incidences '!$L134</f>
        <v>2.1725220047958741E-2</v>
      </c>
      <c r="E57" s="338">
        <f>'B8 Incidences '!R134</f>
        <v>2.2161147359912162E-2</v>
      </c>
      <c r="F57" s="340">
        <f t="shared" si="2"/>
        <v>5.900072484833014E-2</v>
      </c>
      <c r="G57" s="340">
        <f t="shared" si="3"/>
        <v>1.9666908282776712E-2</v>
      </c>
    </row>
    <row r="58" spans="1:7" s="240" customFormat="1" x14ac:dyDescent="0.3">
      <c r="A58" s="245">
        <v>2047</v>
      </c>
      <c r="B58" s="246" t="s">
        <v>53</v>
      </c>
      <c r="C58" s="247">
        <f>'B8 Incidences '!$F33</f>
        <v>2.2017706331047701E-2</v>
      </c>
      <c r="D58" s="238">
        <f>'B8 Incidences '!$L33</f>
        <v>1.9949130716197166E-2</v>
      </c>
      <c r="E58" s="338">
        <f>'B8 Incidences '!R33</f>
        <v>1.7319551256032691E-2</v>
      </c>
      <c r="F58" s="340">
        <f t="shared" si="2"/>
        <v>5.9286388303277558E-2</v>
      </c>
      <c r="G58" s="340">
        <f t="shared" si="3"/>
        <v>1.9762129434425853E-2</v>
      </c>
    </row>
    <row r="59" spans="1:7" s="240" customFormat="1" x14ac:dyDescent="0.3">
      <c r="A59" s="245">
        <v>2217</v>
      </c>
      <c r="B59" s="246" t="s">
        <v>188</v>
      </c>
      <c r="C59" s="247">
        <f>'B8 Incidences '!$F105</f>
        <v>1.4626339616913914E-2</v>
      </c>
      <c r="D59" s="238">
        <f>'B8 Incidences '!$L105</f>
        <v>2.2814952667360916E-2</v>
      </c>
      <c r="E59" s="338">
        <f>'B8 Incidences '!R105</f>
        <v>2.259991811143865E-2</v>
      </c>
      <c r="F59" s="340">
        <f t="shared" si="2"/>
        <v>6.0041210395713474E-2</v>
      </c>
      <c r="G59" s="340">
        <f t="shared" si="3"/>
        <v>2.0013736798571158E-2</v>
      </c>
    </row>
    <row r="60" spans="1:7" s="240" customFormat="1" x14ac:dyDescent="0.3">
      <c r="A60" s="245">
        <v>2122</v>
      </c>
      <c r="B60" s="246" t="s">
        <v>93</v>
      </c>
      <c r="C60" s="247">
        <f>'B8 Incidences '!$F58</f>
        <v>1.4525186971337855E-2</v>
      </c>
      <c r="D60" s="238">
        <f>'B8 Incidences '!$L58</f>
        <v>2.3316758164871467E-2</v>
      </c>
      <c r="E60" s="338">
        <f>'B8 Incidences '!R58</f>
        <v>2.2237159993148806E-2</v>
      </c>
      <c r="F60" s="340">
        <f t="shared" si="2"/>
        <v>6.0079105129358129E-2</v>
      </c>
      <c r="G60" s="340">
        <f t="shared" si="3"/>
        <v>2.0026368376452709E-2</v>
      </c>
    </row>
    <row r="61" spans="1:7" s="240" customFormat="1" x14ac:dyDescent="0.3">
      <c r="A61" s="245">
        <v>2116</v>
      </c>
      <c r="B61" s="246" t="s">
        <v>307</v>
      </c>
      <c r="C61" s="247">
        <f>'B8 Incidences '!$F56</f>
        <v>2.7034906867721652E-2</v>
      </c>
      <c r="D61" s="238">
        <f>'B8 Incidences '!$L56</f>
        <v>1.6709209129883319E-2</v>
      </c>
      <c r="E61" s="338">
        <f>'B8 Incidences '!R56</f>
        <v>1.6474489188999703E-2</v>
      </c>
      <c r="F61" s="340">
        <f t="shared" si="2"/>
        <v>6.0218605186604671E-2</v>
      </c>
      <c r="G61" s="340">
        <f t="shared" si="3"/>
        <v>2.007286839553489E-2</v>
      </c>
    </row>
    <row r="62" spans="1:7" s="240" customFormat="1" x14ac:dyDescent="0.3">
      <c r="A62" s="245">
        <v>2153</v>
      </c>
      <c r="B62" s="246" t="s">
        <v>136</v>
      </c>
      <c r="C62" s="247">
        <f>'B8 Incidences '!$F77</f>
        <v>2.4642788781650191E-2</v>
      </c>
      <c r="D62" s="238">
        <f>'B8 Incidences '!$L77</f>
        <v>1.7812824325001773E-2</v>
      </c>
      <c r="E62" s="338">
        <f>'B8 Incidences '!R77</f>
        <v>1.805210357705821E-2</v>
      </c>
      <c r="F62" s="340">
        <f t="shared" si="2"/>
        <v>6.0507716683710175E-2</v>
      </c>
      <c r="G62" s="340">
        <f t="shared" si="3"/>
        <v>2.0169238894570059E-2</v>
      </c>
    </row>
    <row r="63" spans="1:7" s="240" customFormat="1" x14ac:dyDescent="0.3">
      <c r="A63" s="245">
        <v>2009</v>
      </c>
      <c r="B63" s="246" t="s">
        <v>6</v>
      </c>
      <c r="C63" s="247">
        <f>'B8 Incidences '!$F11</f>
        <v>2.7157659819555452E-2</v>
      </c>
      <c r="D63" s="238">
        <f>'B8 Incidences '!$L11</f>
        <v>1.6846720515737709E-2</v>
      </c>
      <c r="E63" s="338">
        <f>'B8 Incidences '!R11</f>
        <v>1.6893154348778989E-2</v>
      </c>
      <c r="F63" s="340">
        <f t="shared" si="2"/>
        <v>6.0897534684072149E-2</v>
      </c>
      <c r="G63" s="340">
        <f t="shared" si="3"/>
        <v>2.0299178228024049E-2</v>
      </c>
    </row>
    <row r="64" spans="1:7" s="240" customFormat="1" x14ac:dyDescent="0.3">
      <c r="A64" s="245">
        <v>2066</v>
      </c>
      <c r="B64" s="246" t="s">
        <v>60</v>
      </c>
      <c r="C64" s="247">
        <f>'B8 Incidences '!$F40</f>
        <v>1.9305745121056463E-2</v>
      </c>
      <c r="D64" s="238">
        <f>'B8 Incidences '!$L40</f>
        <v>2.0829900540382813E-2</v>
      </c>
      <c r="E64" s="338">
        <f>'B8 Incidences '!R40</f>
        <v>2.0777700485809517E-2</v>
      </c>
      <c r="F64" s="340">
        <f t="shared" si="2"/>
        <v>6.091334614724879E-2</v>
      </c>
      <c r="G64" s="340">
        <f t="shared" si="3"/>
        <v>2.0304448715749598E-2</v>
      </c>
    </row>
    <row r="65" spans="1:7" s="240" customFormat="1" x14ac:dyDescent="0.3">
      <c r="A65" s="245">
        <v>2072</v>
      </c>
      <c r="B65" s="246" t="s">
        <v>66</v>
      </c>
      <c r="C65" s="247">
        <f>'B8 Incidences '!$F43</f>
        <v>3.2514151123633574E-2</v>
      </c>
      <c r="D65" s="238">
        <f>'B8 Incidences '!$L43</f>
        <v>1.5010857758145701E-2</v>
      </c>
      <c r="E65" s="338">
        <f>'B8 Incidences '!R43</f>
        <v>1.3529975456130683E-2</v>
      </c>
      <c r="F65" s="340">
        <f t="shared" si="2"/>
        <v>6.1054984337909957E-2</v>
      </c>
      <c r="G65" s="340">
        <f t="shared" si="3"/>
        <v>2.0351661445969987E-2</v>
      </c>
    </row>
    <row r="66" spans="1:7" s="240" customFormat="1" x14ac:dyDescent="0.3">
      <c r="A66" s="245">
        <v>2304</v>
      </c>
      <c r="B66" s="246" t="s">
        <v>280</v>
      </c>
      <c r="C66" s="247">
        <f>'B8 Incidences '!$F155</f>
        <v>2.4072034931960078E-2</v>
      </c>
      <c r="D66" s="238">
        <f>'B8 Incidences '!$L155</f>
        <v>1.8964707341170971E-2</v>
      </c>
      <c r="E66" s="338">
        <f>'B8 Incidences '!R155</f>
        <v>1.8153019269826265E-2</v>
      </c>
      <c r="F66" s="340">
        <f t="shared" si="2"/>
        <v>6.1189761542957313E-2</v>
      </c>
      <c r="G66" s="340">
        <f t="shared" si="3"/>
        <v>2.0396587180985772E-2</v>
      </c>
    </row>
    <row r="67" spans="1:7" s="240" customFormat="1" x14ac:dyDescent="0.3">
      <c r="A67" s="245">
        <v>2295</v>
      </c>
      <c r="B67" s="246" t="s">
        <v>264</v>
      </c>
      <c r="C67" s="247">
        <f>'B8 Incidences '!$F147</f>
        <v>3.0148128915711121E-2</v>
      </c>
      <c r="D67" s="238">
        <f>'B8 Incidences '!$L147</f>
        <v>1.5647502797279035E-2</v>
      </c>
      <c r="E67" s="338">
        <f>'B8 Incidences '!R147</f>
        <v>1.5480328358561781E-2</v>
      </c>
      <c r="F67" s="340">
        <f t="shared" si="2"/>
        <v>6.1275960071551935E-2</v>
      </c>
      <c r="G67" s="340">
        <f t="shared" si="3"/>
        <v>2.0425320023850644E-2</v>
      </c>
    </row>
    <row r="68" spans="1:7" s="240" customFormat="1" x14ac:dyDescent="0.3">
      <c r="A68" s="245">
        <v>2044</v>
      </c>
      <c r="B68" s="246" t="s">
        <v>49</v>
      </c>
      <c r="C68" s="247">
        <f>'B8 Incidences '!$F31</f>
        <v>2.6335412879376022E-2</v>
      </c>
      <c r="D68" s="238">
        <f>'B8 Incidences '!$L31</f>
        <v>1.798363144458975E-2</v>
      </c>
      <c r="E68" s="338">
        <f>'B8 Incidences '!R31</f>
        <v>1.6973081223640489E-2</v>
      </c>
      <c r="F68" s="340">
        <f t="shared" si="2"/>
        <v>6.1292125547606262E-2</v>
      </c>
      <c r="G68" s="340">
        <f t="shared" si="3"/>
        <v>2.0430708515868753E-2</v>
      </c>
    </row>
    <row r="69" spans="1:7" s="240" customFormat="1" x14ac:dyDescent="0.3">
      <c r="A69" s="245">
        <v>2148</v>
      </c>
      <c r="B69" s="246" t="s">
        <v>130</v>
      </c>
      <c r="C69" s="247">
        <f>'B8 Incidences '!$F74</f>
        <v>1.9769493623271069E-2</v>
      </c>
      <c r="D69" s="238">
        <f>'B8 Incidences '!$L74</f>
        <v>2.1300064978548271E-2</v>
      </c>
      <c r="E69" s="338">
        <f>'B8 Incidences '!R74</f>
        <v>2.0224289226350303E-2</v>
      </c>
      <c r="F69" s="340">
        <f t="shared" si="2"/>
        <v>6.1293847828169642E-2</v>
      </c>
      <c r="G69" s="340">
        <f t="shared" si="3"/>
        <v>2.0431282609389881E-2</v>
      </c>
    </row>
    <row r="70" spans="1:7" s="240" customFormat="1" x14ac:dyDescent="0.3">
      <c r="A70" s="245">
        <v>2276</v>
      </c>
      <c r="B70" s="246" t="s">
        <v>309</v>
      </c>
      <c r="C70" s="247">
        <f>'B8 Incidences '!$F136</f>
        <v>2.0198721136467299E-2</v>
      </c>
      <c r="D70" s="238">
        <f>'B8 Incidences '!$L136</f>
        <v>2.121847329621316E-2</v>
      </c>
      <c r="E70" s="338">
        <f>'B8 Incidences '!R136</f>
        <v>1.9892338597772365E-2</v>
      </c>
      <c r="F70" s="340">
        <f t="shared" si="2"/>
        <v>6.130953303045282E-2</v>
      </c>
      <c r="G70" s="340">
        <f t="shared" si="3"/>
        <v>2.043651101015094E-2</v>
      </c>
    </row>
    <row r="71" spans="1:7" s="240" customFormat="1" x14ac:dyDescent="0.3">
      <c r="A71" s="245">
        <v>2086</v>
      </c>
      <c r="B71" s="246" t="s">
        <v>70</v>
      </c>
      <c r="C71" s="247">
        <f>'B8 Incidences '!$F45</f>
        <v>3.4043175206097627E-2</v>
      </c>
      <c r="D71" s="238">
        <f>'B8 Incidences '!$L45</f>
        <v>1.4264329991905855E-2</v>
      </c>
      <c r="E71" s="338">
        <f>'B8 Incidences '!R45</f>
        <v>1.3152769937946444E-2</v>
      </c>
      <c r="F71" s="340">
        <f t="shared" si="2"/>
        <v>6.1460275135949927E-2</v>
      </c>
      <c r="G71" s="340">
        <f t="shared" si="3"/>
        <v>2.0486758378649977E-2</v>
      </c>
    </row>
    <row r="72" spans="1:7" s="240" customFormat="1" x14ac:dyDescent="0.3">
      <c r="A72" s="245">
        <v>2294</v>
      </c>
      <c r="B72" s="246" t="s">
        <v>262</v>
      </c>
      <c r="C72" s="247">
        <f>'B8 Incidences '!$F146</f>
        <v>2.1849359058151642E-2</v>
      </c>
      <c r="D72" s="238">
        <f>'B8 Incidences '!$L146</f>
        <v>2.035966721843117E-2</v>
      </c>
      <c r="E72" s="338">
        <f>'B8 Incidences '!R146</f>
        <v>1.9448019667468414E-2</v>
      </c>
      <c r="F72" s="340">
        <f t="shared" ref="F72:F103" si="4">C72+D72+E72</f>
        <v>6.165704594405122E-2</v>
      </c>
      <c r="G72" s="340">
        <f t="shared" ref="G72:G103" si="5">F72/3</f>
        <v>2.0552348648017072E-2</v>
      </c>
    </row>
    <row r="73" spans="1:7" s="240" customFormat="1" x14ac:dyDescent="0.3">
      <c r="A73" s="245">
        <v>2260</v>
      </c>
      <c r="B73" s="246" t="s">
        <v>223</v>
      </c>
      <c r="C73" s="247">
        <f>'B8 Incidences '!$F125</f>
        <v>2.9123944822236503E-2</v>
      </c>
      <c r="D73" s="238">
        <f>'B8 Incidences '!$L125</f>
        <v>1.6849865478816811E-2</v>
      </c>
      <c r="E73" s="338">
        <f>'B8 Incidences '!R125</f>
        <v>1.6161719524111454E-2</v>
      </c>
      <c r="F73" s="340">
        <f t="shared" si="4"/>
        <v>6.2135529825164765E-2</v>
      </c>
      <c r="G73" s="340">
        <f t="shared" si="5"/>
        <v>2.071184327505492E-2</v>
      </c>
    </row>
    <row r="74" spans="1:7" s="240" customFormat="1" x14ac:dyDescent="0.3">
      <c r="A74" s="245">
        <v>2223</v>
      </c>
      <c r="B74" s="246" t="s">
        <v>194</v>
      </c>
      <c r="C74" s="247">
        <f>'B8 Incidences '!$F109</f>
        <v>2.0428150319155996E-2</v>
      </c>
      <c r="D74" s="238">
        <f>'B8 Incidences '!$L109</f>
        <v>2.1104372552614901E-2</v>
      </c>
      <c r="E74" s="338">
        <f>'B8 Incidences '!R109</f>
        <v>2.0748846119522404E-2</v>
      </c>
      <c r="F74" s="340">
        <f t="shared" si="4"/>
        <v>6.2281368991293301E-2</v>
      </c>
      <c r="G74" s="340">
        <f t="shared" si="5"/>
        <v>2.0760456330431099E-2</v>
      </c>
    </row>
    <row r="75" spans="1:7" s="240" customFormat="1" x14ac:dyDescent="0.3">
      <c r="A75" s="245">
        <v>2279</v>
      </c>
      <c r="B75" s="246" t="s">
        <v>249</v>
      </c>
      <c r="C75" s="247">
        <f>'B8 Incidences '!$F139</f>
        <v>1.7773020149374742E-2</v>
      </c>
      <c r="D75" s="238">
        <f>'B8 Incidences '!$L139</f>
        <v>2.2140354889434912E-2</v>
      </c>
      <c r="E75" s="338">
        <f>'B8 Incidences '!R139</f>
        <v>2.2408224440783196E-2</v>
      </c>
      <c r="F75" s="340">
        <f t="shared" si="4"/>
        <v>6.2321599479592843E-2</v>
      </c>
      <c r="G75" s="340">
        <f t="shared" si="5"/>
        <v>2.0773866493197613E-2</v>
      </c>
    </row>
    <row r="76" spans="1:7" s="240" customFormat="1" x14ac:dyDescent="0.3">
      <c r="A76" s="245">
        <v>2041</v>
      </c>
      <c r="B76" s="246" t="s">
        <v>45</v>
      </c>
      <c r="C76" s="247">
        <f>'B8 Incidences '!$F29</f>
        <v>2.2961322636346052E-2</v>
      </c>
      <c r="D76" s="238">
        <f>'B8 Incidences '!$L29</f>
        <v>1.9625297432046263E-2</v>
      </c>
      <c r="E76" s="338">
        <f>'B8 Incidences '!R29</f>
        <v>1.9821281970149918E-2</v>
      </c>
      <c r="F76" s="340">
        <f t="shared" si="4"/>
        <v>6.2407902038542226E-2</v>
      </c>
      <c r="G76" s="340">
        <f t="shared" si="5"/>
        <v>2.0802634012847408E-2</v>
      </c>
    </row>
    <row r="77" spans="1:7" s="240" customFormat="1" x14ac:dyDescent="0.3">
      <c r="A77" s="245">
        <v>2211</v>
      </c>
      <c r="B77" s="246" t="s">
        <v>182</v>
      </c>
      <c r="C77" s="247">
        <f>'B8 Incidences '!$F102</f>
        <v>1.9591791576614628E-2</v>
      </c>
      <c r="D77" s="238">
        <f>'B8 Incidences '!$L102</f>
        <v>2.1628162497670737E-2</v>
      </c>
      <c r="E77" s="338">
        <f>'B8 Incidences '!R102</f>
        <v>2.1400326738926473E-2</v>
      </c>
      <c r="F77" s="340">
        <f t="shared" si="4"/>
        <v>6.2620280813211832E-2</v>
      </c>
      <c r="G77" s="340">
        <f t="shared" si="5"/>
        <v>2.0873426937737277E-2</v>
      </c>
    </row>
    <row r="78" spans="1:7" s="240" customFormat="1" x14ac:dyDescent="0.3">
      <c r="A78" s="245">
        <v>2283</v>
      </c>
      <c r="B78" s="246" t="s">
        <v>255</v>
      </c>
      <c r="C78" s="247">
        <f>'B8 Incidences '!$F142</f>
        <v>1.2089102074978849E-2</v>
      </c>
      <c r="D78" s="238">
        <f>'B8 Incidences '!$L142</f>
        <v>2.4848895509435896E-2</v>
      </c>
      <c r="E78" s="338">
        <f>'B8 Incidences '!R142</f>
        <v>2.602212472239215E-2</v>
      </c>
      <c r="F78" s="340">
        <f t="shared" si="4"/>
        <v>6.2960122306806893E-2</v>
      </c>
      <c r="G78" s="340">
        <f t="shared" si="5"/>
        <v>2.0986707435602298E-2</v>
      </c>
    </row>
    <row r="79" spans="1:7" s="240" customFormat="1" x14ac:dyDescent="0.3">
      <c r="A79" s="245">
        <v>2216</v>
      </c>
      <c r="B79" s="246" t="s">
        <v>186</v>
      </c>
      <c r="C79" s="247">
        <f>'B8 Incidences '!$F104</f>
        <v>1.4294494030010721E-2</v>
      </c>
      <c r="D79" s="238">
        <f>'B8 Incidences '!$L104</f>
        <v>2.3495757882136349E-2</v>
      </c>
      <c r="E79" s="338">
        <f>'B8 Incidences '!R104</f>
        <v>2.5226292799400366E-2</v>
      </c>
      <c r="F79" s="340">
        <f t="shared" si="4"/>
        <v>6.301654471154744E-2</v>
      </c>
      <c r="G79" s="340">
        <f t="shared" si="5"/>
        <v>2.1005514903849148E-2</v>
      </c>
    </row>
    <row r="80" spans="1:7" s="240" customFormat="1" x14ac:dyDescent="0.3">
      <c r="A80" s="245">
        <v>2221</v>
      </c>
      <c r="B80" s="246" t="s">
        <v>191</v>
      </c>
      <c r="C80" s="247">
        <f>'B8 Incidences '!$F107</f>
        <v>2.3378294347122245E-2</v>
      </c>
      <c r="D80" s="238">
        <f>'B8 Incidences '!$L107</f>
        <v>2.0094769729512796E-2</v>
      </c>
      <c r="E80" s="338">
        <f>'B8 Incidences '!R107</f>
        <v>1.9552704607003892E-2</v>
      </c>
      <c r="F80" s="340">
        <f t="shared" si="4"/>
        <v>6.3025768683638933E-2</v>
      </c>
      <c r="G80" s="340">
        <f t="shared" si="5"/>
        <v>2.1008589561212977E-2</v>
      </c>
    </row>
    <row r="81" spans="1:7" s="261" customFormat="1" x14ac:dyDescent="0.3">
      <c r="A81" s="245">
        <v>2307</v>
      </c>
      <c r="B81" s="246" t="s">
        <v>286</v>
      </c>
      <c r="C81" s="247">
        <f>'B8 Incidences '!$F158</f>
        <v>2.3932004203776086E-2</v>
      </c>
      <c r="D81" s="238">
        <f>'B8 Incidences '!$L158</f>
        <v>1.9903820144525929E-2</v>
      </c>
      <c r="E81" s="338">
        <f>'B8 Incidences '!R158</f>
        <v>1.9190931299271127E-2</v>
      </c>
      <c r="F81" s="340">
        <f t="shared" si="4"/>
        <v>6.3026755647573138E-2</v>
      </c>
      <c r="G81" s="340">
        <f t="shared" si="5"/>
        <v>2.1008918549191045E-2</v>
      </c>
    </row>
    <row r="82" spans="1:7" s="240" customFormat="1" x14ac:dyDescent="0.3">
      <c r="A82" s="245">
        <v>2184</v>
      </c>
      <c r="B82" s="246" t="s">
        <v>158</v>
      </c>
      <c r="C82" s="247">
        <f>'B8 Incidences '!$F90</f>
        <v>1.3700863761280831E-2</v>
      </c>
      <c r="D82" s="238">
        <f>'B8 Incidences '!$L90</f>
        <v>2.5114077403351087E-2</v>
      </c>
      <c r="E82" s="338">
        <f>'B8 Incidences '!R90</f>
        <v>2.4439116654228925E-2</v>
      </c>
      <c r="F82" s="340">
        <f t="shared" si="4"/>
        <v>6.3254057818860843E-2</v>
      </c>
      <c r="G82" s="340">
        <f t="shared" si="5"/>
        <v>2.108468593962028E-2</v>
      </c>
    </row>
    <row r="83" spans="1:7" s="240" customFormat="1" x14ac:dyDescent="0.3">
      <c r="A83" s="245">
        <v>2005</v>
      </c>
      <c r="B83" s="246" t="s">
        <v>3</v>
      </c>
      <c r="C83" s="247">
        <f>'B8 Incidences '!$F9</f>
        <v>2.0680368435773467E-2</v>
      </c>
      <c r="D83" s="238">
        <f>'B8 Incidences '!$L9</f>
        <v>2.1567743558655306E-2</v>
      </c>
      <c r="E83" s="338">
        <f>'B8 Incidences '!R9</f>
        <v>2.134171728011703E-2</v>
      </c>
      <c r="F83" s="340">
        <f t="shared" si="4"/>
        <v>6.3589829274545803E-2</v>
      </c>
      <c r="G83" s="340">
        <f t="shared" si="5"/>
        <v>2.1196609758181936E-2</v>
      </c>
    </row>
    <row r="84" spans="1:7" s="240" customFormat="1" x14ac:dyDescent="0.3">
      <c r="A84" s="245">
        <v>2045</v>
      </c>
      <c r="B84" s="246" t="s">
        <v>51</v>
      </c>
      <c r="C84" s="247">
        <f>'B8 Incidences '!$F32</f>
        <v>1.5941788485772029E-2</v>
      </c>
      <c r="D84" s="238">
        <f>'B8 Incidences '!$L32</f>
        <v>2.5693935310777866E-2</v>
      </c>
      <c r="E84" s="338">
        <f>'B8 Incidences '!R32</f>
        <v>2.2031997878439135E-2</v>
      </c>
      <c r="F84" s="340">
        <f t="shared" si="4"/>
        <v>6.3667721674989033E-2</v>
      </c>
      <c r="G84" s="340">
        <f t="shared" si="5"/>
        <v>2.1222573891663012E-2</v>
      </c>
    </row>
    <row r="85" spans="1:7" s="240" customFormat="1" x14ac:dyDescent="0.3">
      <c r="A85" s="245">
        <v>2011</v>
      </c>
      <c r="B85" s="246" t="s">
        <v>10</v>
      </c>
      <c r="C85" s="247">
        <f>'B8 Incidences '!$F13</f>
        <v>1.8545968694785538E-2</v>
      </c>
      <c r="D85" s="238">
        <f>'B8 Incidences '!$L13</f>
        <v>2.2645243368692603E-2</v>
      </c>
      <c r="E85" s="338">
        <f>'B8 Incidences '!R13</f>
        <v>2.2566573286043091E-2</v>
      </c>
      <c r="F85" s="340">
        <f t="shared" si="4"/>
        <v>6.3757785349521229E-2</v>
      </c>
      <c r="G85" s="340">
        <f t="shared" si="5"/>
        <v>2.1252595116507077E-2</v>
      </c>
    </row>
    <row r="86" spans="1:7" s="240" customFormat="1" x14ac:dyDescent="0.3">
      <c r="A86" s="245">
        <v>2172</v>
      </c>
      <c r="B86" s="246" t="s">
        <v>144</v>
      </c>
      <c r="C86" s="247">
        <f>'B8 Incidences '!$F83</f>
        <v>2.2470424256365952E-2</v>
      </c>
      <c r="D86" s="238">
        <f>'B8 Incidences '!$L83</f>
        <v>1.9987727173823532E-2</v>
      </c>
      <c r="E86" s="338">
        <f>'B8 Incidences '!R83</f>
        <v>2.1469862142802505E-2</v>
      </c>
      <c r="F86" s="340">
        <f t="shared" si="4"/>
        <v>6.3928013572991993E-2</v>
      </c>
      <c r="G86" s="340">
        <f t="shared" si="5"/>
        <v>2.1309337857663996E-2</v>
      </c>
    </row>
    <row r="87" spans="1:7" s="240" customFormat="1" x14ac:dyDescent="0.3">
      <c r="A87" s="245">
        <v>2306</v>
      </c>
      <c r="B87" s="246" t="s">
        <v>284</v>
      </c>
      <c r="C87" s="247">
        <f>'B8 Incidences '!$F157</f>
        <v>2.5814294967688157E-2</v>
      </c>
      <c r="D87" s="238">
        <f>'B8 Incidences '!$L157</f>
        <v>1.9349993091733058E-2</v>
      </c>
      <c r="E87" s="338">
        <f>'B8 Incidences '!R157</f>
        <v>1.9411237895744636E-2</v>
      </c>
      <c r="F87" s="340">
        <f t="shared" si="4"/>
        <v>6.4575525955165858E-2</v>
      </c>
      <c r="G87" s="340">
        <f t="shared" si="5"/>
        <v>2.1525175318388618E-2</v>
      </c>
    </row>
    <row r="88" spans="1:7" s="240" customFormat="1" x14ac:dyDescent="0.3">
      <c r="A88" s="245">
        <v>2234</v>
      </c>
      <c r="B88" s="246" t="s">
        <v>206</v>
      </c>
      <c r="C88" s="247">
        <f>'B8 Incidences '!$F116</f>
        <v>1.605417310899325E-2</v>
      </c>
      <c r="D88" s="238">
        <f>'B8 Incidences '!$L116</f>
        <v>2.4412835867449006E-2</v>
      </c>
      <c r="E88" s="338">
        <f>'B8 Incidences '!R116</f>
        <v>2.4183433115547378E-2</v>
      </c>
      <c r="F88" s="340">
        <f t="shared" si="4"/>
        <v>6.4650442091989641E-2</v>
      </c>
      <c r="G88" s="340">
        <f t="shared" si="5"/>
        <v>2.1550147363996547E-2</v>
      </c>
    </row>
    <row r="89" spans="1:7" s="240" customFormat="1" x14ac:dyDescent="0.3">
      <c r="A89" s="245">
        <v>2029</v>
      </c>
      <c r="B89" s="246" t="s">
        <v>30</v>
      </c>
      <c r="C89" s="247">
        <f>'B8 Incidences '!$F22</f>
        <v>1.9541620837831068E-2</v>
      </c>
      <c r="D89" s="238">
        <f>'B8 Incidences '!$L22</f>
        <v>2.2894998786351501E-2</v>
      </c>
      <c r="E89" s="338">
        <f>'B8 Incidences '!R22</f>
        <v>2.2249946572156658E-2</v>
      </c>
      <c r="F89" s="340">
        <f t="shared" si="4"/>
        <v>6.4686566196339224E-2</v>
      </c>
      <c r="G89" s="340">
        <f t="shared" si="5"/>
        <v>2.1562188732113075E-2</v>
      </c>
    </row>
    <row r="90" spans="1:7" s="240" customFormat="1" x14ac:dyDescent="0.3">
      <c r="A90" s="245">
        <v>2280</v>
      </c>
      <c r="B90" s="246" t="s">
        <v>251</v>
      </c>
      <c r="C90" s="247">
        <f>'B8 Incidences '!$F140</f>
        <v>1.8237721481248467E-2</v>
      </c>
      <c r="D90" s="238">
        <f>'B8 Incidences '!$L140</f>
        <v>2.3385464046459074E-2</v>
      </c>
      <c r="E90" s="338">
        <f>'B8 Incidences '!R140</f>
        <v>2.3096879480331341E-2</v>
      </c>
      <c r="F90" s="340">
        <f t="shared" si="4"/>
        <v>6.4720065008038882E-2</v>
      </c>
      <c r="G90" s="340">
        <f t="shared" si="5"/>
        <v>2.1573355002679626E-2</v>
      </c>
    </row>
    <row r="91" spans="1:7" s="240" customFormat="1" x14ac:dyDescent="0.3">
      <c r="A91" s="245">
        <v>2325</v>
      </c>
      <c r="B91" s="246" t="s">
        <v>296</v>
      </c>
      <c r="C91" s="247">
        <f>'B8 Incidences '!$F164</f>
        <v>1.9840101687984491E-2</v>
      </c>
      <c r="D91" s="238">
        <f>'B8 Incidences '!$L164</f>
        <v>2.2769917126715108E-2</v>
      </c>
      <c r="E91" s="338">
        <f>'B8 Incidences '!R164</f>
        <v>2.2349477327126017E-2</v>
      </c>
      <c r="F91" s="340">
        <f t="shared" si="4"/>
        <v>6.4959496141825612E-2</v>
      </c>
      <c r="G91" s="340">
        <f t="shared" si="5"/>
        <v>2.1653165380608536E-2</v>
      </c>
    </row>
    <row r="92" spans="1:7" s="240" customFormat="1" x14ac:dyDescent="0.3">
      <c r="A92" s="245">
        <v>2034</v>
      </c>
      <c r="B92" s="246" t="s">
        <v>35</v>
      </c>
      <c r="C92" s="247">
        <f>'B8 Incidences '!$F24</f>
        <v>1.9853318867053257E-2</v>
      </c>
      <c r="D92" s="238">
        <f>'B8 Incidences '!$L24</f>
        <v>2.2769422046601009E-2</v>
      </c>
      <c r="E92" s="338">
        <f>'B8 Incidences '!R24</f>
        <v>2.2591423159773708E-2</v>
      </c>
      <c r="F92" s="340">
        <f t="shared" si="4"/>
        <v>6.5214164073427977E-2</v>
      </c>
      <c r="G92" s="340">
        <f t="shared" si="5"/>
        <v>2.173805469114266E-2</v>
      </c>
    </row>
    <row r="93" spans="1:7" s="240" customFormat="1" x14ac:dyDescent="0.3">
      <c r="A93" s="245">
        <v>2262</v>
      </c>
      <c r="B93" s="246" t="s">
        <v>383</v>
      </c>
      <c r="C93" s="247">
        <f>'B8 Incidences '!$F127</f>
        <v>2.3924648139826872E-2</v>
      </c>
      <c r="D93" s="238">
        <f>'B8 Incidences '!$L127</f>
        <v>2.1075025102984087E-2</v>
      </c>
      <c r="E93" s="338">
        <f>'B8 Incidences '!R127</f>
        <v>2.0260376609577167E-2</v>
      </c>
      <c r="F93" s="340">
        <f t="shared" si="4"/>
        <v>6.5260049852388119E-2</v>
      </c>
      <c r="G93" s="340">
        <f t="shared" si="5"/>
        <v>2.1753349950796041E-2</v>
      </c>
    </row>
    <row r="94" spans="1:7" s="240" customFormat="1" x14ac:dyDescent="0.3">
      <c r="A94" s="245">
        <v>2135</v>
      </c>
      <c r="B94" s="246" t="s">
        <v>116</v>
      </c>
      <c r="C94" s="247">
        <f>'B8 Incidences '!$F67</f>
        <v>2.1134938860948908E-2</v>
      </c>
      <c r="D94" s="238">
        <f>'B8 Incidences '!$L67</f>
        <v>2.2211964966513231E-2</v>
      </c>
      <c r="E94" s="338">
        <f>'B8 Incidences '!R67</f>
        <v>2.2363532692900701E-2</v>
      </c>
      <c r="F94" s="340">
        <f t="shared" si="4"/>
        <v>6.5710436520362847E-2</v>
      </c>
      <c r="G94" s="340">
        <f t="shared" si="5"/>
        <v>2.1903478840120949E-2</v>
      </c>
    </row>
    <row r="95" spans="1:7" s="240" customFormat="1" x14ac:dyDescent="0.3">
      <c r="A95" s="258">
        <v>2309</v>
      </c>
      <c r="B95" s="259" t="s">
        <v>289</v>
      </c>
      <c r="C95" s="247">
        <f>'B8 Incidences '!$F160</f>
        <v>2.632451584842703E-2</v>
      </c>
      <c r="D95" s="238">
        <f>'B8 Incidences '!$L160</f>
        <v>2.0108813376307849E-2</v>
      </c>
      <c r="E95" s="338">
        <f>'B8 Incidences '!R160</f>
        <v>1.9401716546914353E-2</v>
      </c>
      <c r="F95" s="340">
        <f t="shared" si="4"/>
        <v>6.5835045771649225E-2</v>
      </c>
      <c r="G95" s="340">
        <f t="shared" si="5"/>
        <v>2.194501525721641E-2</v>
      </c>
    </row>
    <row r="96" spans="1:7" s="240" customFormat="1" x14ac:dyDescent="0.3">
      <c r="A96" s="258">
        <v>2147</v>
      </c>
      <c r="B96" s="259" t="s">
        <v>128</v>
      </c>
      <c r="C96" s="247">
        <f>'B8 Incidences '!$F73</f>
        <v>1.7963269588738954E-2</v>
      </c>
      <c r="D96" s="238">
        <f>'B8 Incidences '!$L73</f>
        <v>2.4349050613523552E-2</v>
      </c>
      <c r="E96" s="338">
        <f>'B8 Incidences '!R73</f>
        <v>2.3752194792027122E-2</v>
      </c>
      <c r="F96" s="340">
        <f t="shared" si="4"/>
        <v>6.6064514994289628E-2</v>
      </c>
      <c r="G96" s="340">
        <f t="shared" si="5"/>
        <v>2.2021504998096544E-2</v>
      </c>
    </row>
    <row r="97" spans="1:7" s="240" customFormat="1" x14ac:dyDescent="0.3">
      <c r="A97" s="245">
        <v>2305</v>
      </c>
      <c r="B97" s="246" t="s">
        <v>282</v>
      </c>
      <c r="C97" s="247">
        <f>'B8 Incidences '!$F156</f>
        <v>2.3667492337727719E-2</v>
      </c>
      <c r="D97" s="238">
        <f>'B8 Incidences '!$L156</f>
        <v>2.1605029761374957E-2</v>
      </c>
      <c r="E97" s="338">
        <f>'B8 Incidences '!R156</f>
        <v>2.1186638752706741E-2</v>
      </c>
      <c r="F97" s="340">
        <f t="shared" si="4"/>
        <v>6.6459160851809418E-2</v>
      </c>
      <c r="G97" s="340">
        <f t="shared" si="5"/>
        <v>2.2153053617269807E-2</v>
      </c>
    </row>
    <row r="98" spans="1:7" s="240" customFormat="1" x14ac:dyDescent="0.3">
      <c r="A98" s="245">
        <v>2198</v>
      </c>
      <c r="B98" s="246" t="s">
        <v>173</v>
      </c>
      <c r="C98" s="247">
        <f>'B8 Incidences '!$F98</f>
        <v>2.35888284290879E-2</v>
      </c>
      <c r="D98" s="238">
        <f>'B8 Incidences '!$L98</f>
        <v>2.2094266234040198E-2</v>
      </c>
      <c r="E98" s="338">
        <f>'B8 Incidences '!R98</f>
        <v>2.0846219934057063E-2</v>
      </c>
      <c r="F98" s="340">
        <f t="shared" si="4"/>
        <v>6.6529314597185168E-2</v>
      </c>
      <c r="G98" s="340">
        <f t="shared" si="5"/>
        <v>2.2176438199061722E-2</v>
      </c>
    </row>
    <row r="99" spans="1:7" s="240" customFormat="1" x14ac:dyDescent="0.3">
      <c r="A99" s="245">
        <v>2143</v>
      </c>
      <c r="B99" s="246" t="s">
        <v>124</v>
      </c>
      <c r="C99" s="247">
        <f>'B8 Incidences '!$F71</f>
        <v>1.4329588053537632E-2</v>
      </c>
      <c r="D99" s="238">
        <f>'B8 Incidences '!$L71</f>
        <v>2.529662817692464E-2</v>
      </c>
      <c r="E99" s="338">
        <f>'B8 Incidences '!R71</f>
        <v>2.7394576015850606E-2</v>
      </c>
      <c r="F99" s="340">
        <f t="shared" si="4"/>
        <v>6.7020792246312882E-2</v>
      </c>
      <c r="G99" s="340">
        <f t="shared" si="5"/>
        <v>2.2340264082104294E-2</v>
      </c>
    </row>
    <row r="100" spans="1:7" s="240" customFormat="1" x14ac:dyDescent="0.3">
      <c r="A100" s="245">
        <v>2114</v>
      </c>
      <c r="B100" s="246" t="s">
        <v>90</v>
      </c>
      <c r="C100" s="247">
        <f>'B8 Incidences '!$F54</f>
        <v>2.3570397786738449E-2</v>
      </c>
      <c r="D100" s="238">
        <f>'B8 Incidences '!$L54</f>
        <v>2.1602587338788941E-2</v>
      </c>
      <c r="E100" s="338">
        <f>'B8 Incidences '!R54</f>
        <v>2.2008861650512527E-2</v>
      </c>
      <c r="F100" s="340">
        <f t="shared" si="4"/>
        <v>6.7181846776039916E-2</v>
      </c>
      <c r="G100" s="340">
        <f t="shared" si="5"/>
        <v>2.239394892534664E-2</v>
      </c>
    </row>
    <row r="101" spans="1:7" s="240" customFormat="1" x14ac:dyDescent="0.3">
      <c r="A101" s="245">
        <v>2025</v>
      </c>
      <c r="B101" s="246" t="s">
        <v>26</v>
      </c>
      <c r="C101" s="247">
        <f>'B8 Incidences '!$F20</f>
        <v>1.8974481299444887E-2</v>
      </c>
      <c r="D101" s="238">
        <f>'B8 Incidences '!$L20</f>
        <v>2.3827994169075696E-2</v>
      </c>
      <c r="E101" s="338">
        <f>'B8 Incidences '!R20</f>
        <v>2.4470346152584421E-2</v>
      </c>
      <c r="F101" s="340">
        <f t="shared" si="4"/>
        <v>6.7272821621105011E-2</v>
      </c>
      <c r="G101" s="340">
        <f t="shared" si="5"/>
        <v>2.2424273873701672E-2</v>
      </c>
    </row>
    <row r="102" spans="1:7" s="240" customFormat="1" x14ac:dyDescent="0.3">
      <c r="A102" s="245">
        <v>2067</v>
      </c>
      <c r="B102" s="246" t="s">
        <v>62</v>
      </c>
      <c r="C102" s="247">
        <f>'B8 Incidences '!$F41</f>
        <v>2.2158759695706222E-2</v>
      </c>
      <c r="D102" s="238">
        <f>'B8 Incidences '!$L41</f>
        <v>2.3098072810542599E-2</v>
      </c>
      <c r="E102" s="338">
        <f>'B8 Incidences '!R41</f>
        <v>2.2214088957145366E-2</v>
      </c>
      <c r="F102" s="340">
        <f t="shared" si="4"/>
        <v>6.7470921463394187E-2</v>
      </c>
      <c r="G102" s="340">
        <f t="shared" si="5"/>
        <v>2.249030715446473E-2</v>
      </c>
    </row>
    <row r="103" spans="1:7" s="240" customFormat="1" x14ac:dyDescent="0.3">
      <c r="A103" s="245">
        <v>2061</v>
      </c>
      <c r="B103" s="246" t="s">
        <v>57</v>
      </c>
      <c r="C103" s="247">
        <f>'B8 Incidences '!$F38</f>
        <v>1.245327196113661E-2</v>
      </c>
      <c r="D103" s="238">
        <f>'B8 Incidences '!$L38</f>
        <v>2.8718477750052707E-2</v>
      </c>
      <c r="E103" s="338">
        <f>'B8 Incidences '!R38</f>
        <v>2.662672220713375E-2</v>
      </c>
      <c r="F103" s="340">
        <f t="shared" si="4"/>
        <v>6.7798471918323069E-2</v>
      </c>
      <c r="G103" s="340">
        <f t="shared" si="5"/>
        <v>2.2599490639441024E-2</v>
      </c>
    </row>
    <row r="104" spans="1:7" s="240" customFormat="1" x14ac:dyDescent="0.3">
      <c r="A104" s="245">
        <v>2111</v>
      </c>
      <c r="B104" s="246" t="s">
        <v>85</v>
      </c>
      <c r="C104" s="247">
        <f>'B8 Incidences '!$F52</f>
        <v>2.7920318703700139E-2</v>
      </c>
      <c r="D104" s="238">
        <f>'B8 Incidences '!$L52</f>
        <v>2.0459367343995765E-2</v>
      </c>
      <c r="E104" s="338">
        <f>'B8 Incidences '!R52</f>
        <v>1.9486452666781985E-2</v>
      </c>
      <c r="F104" s="340">
        <f t="shared" ref="F104:F135" si="6">C104+D104+E104</f>
        <v>6.7866138714477886E-2</v>
      </c>
      <c r="G104" s="340">
        <f t="shared" ref="G104:G135" si="7">F104/3</f>
        <v>2.2622046238159294E-2</v>
      </c>
    </row>
    <row r="105" spans="1:7" s="240" customFormat="1" x14ac:dyDescent="0.3">
      <c r="A105" s="245">
        <v>2230</v>
      </c>
      <c r="B105" s="246" t="s">
        <v>202</v>
      </c>
      <c r="C105" s="247">
        <f>'B8 Incidences '!$F113</f>
        <v>3.3647058490640008E-2</v>
      </c>
      <c r="D105" s="238">
        <f>'B8 Incidences '!$L113</f>
        <v>1.8987205304476736E-2</v>
      </c>
      <c r="E105" s="338">
        <f>'B8 Incidences '!R113</f>
        <v>1.5329547740085294E-2</v>
      </c>
      <c r="F105" s="340">
        <f t="shared" si="6"/>
        <v>6.7963811535202034E-2</v>
      </c>
      <c r="G105" s="340">
        <f t="shared" si="7"/>
        <v>2.2654603845067345E-2</v>
      </c>
    </row>
    <row r="106" spans="1:7" s="240" customFormat="1" x14ac:dyDescent="0.3">
      <c r="A106" s="245">
        <v>2131</v>
      </c>
      <c r="B106" s="246" t="s">
        <v>111</v>
      </c>
      <c r="C106" s="247">
        <f>'B8 Incidences '!$F65</f>
        <v>1.5253871728568553E-2</v>
      </c>
      <c r="D106" s="238">
        <f>'B8 Incidences '!$L65</f>
        <v>2.720572321583755E-2</v>
      </c>
      <c r="E106" s="338">
        <f>'B8 Incidences '!R65</f>
        <v>2.5704126255141457E-2</v>
      </c>
      <c r="F106" s="340">
        <f t="shared" si="6"/>
        <v>6.8163721199547556E-2</v>
      </c>
      <c r="G106" s="340">
        <f t="shared" si="7"/>
        <v>2.2721240399849185E-2</v>
      </c>
    </row>
    <row r="107" spans="1:7" s="240" customFormat="1" x14ac:dyDescent="0.3">
      <c r="A107" s="245">
        <v>2177</v>
      </c>
      <c r="B107" s="246" t="s">
        <v>152</v>
      </c>
      <c r="C107" s="247">
        <f>'B8 Incidences '!$F87</f>
        <v>2.2926413519303246E-2</v>
      </c>
      <c r="D107" s="238">
        <f>'B8 Incidences '!$L87</f>
        <v>2.3363864369903564E-2</v>
      </c>
      <c r="E107" s="338">
        <f>'B8 Incidences '!R87</f>
        <v>2.220354520308233E-2</v>
      </c>
      <c r="F107" s="340">
        <f t="shared" si="6"/>
        <v>6.8493823092289144E-2</v>
      </c>
      <c r="G107" s="340">
        <f t="shared" si="7"/>
        <v>2.283127436409638E-2</v>
      </c>
    </row>
    <row r="108" spans="1:7" s="240" customFormat="1" x14ac:dyDescent="0.3">
      <c r="A108" s="245">
        <v>2233</v>
      </c>
      <c r="B108" s="246" t="s">
        <v>205</v>
      </c>
      <c r="C108" s="247">
        <f>'B8 Incidences '!$F115</f>
        <v>1.8447669137292379E-2</v>
      </c>
      <c r="D108" s="238">
        <f>'B8 Incidences '!$L115</f>
        <v>2.5462837845947994E-2</v>
      </c>
      <c r="E108" s="338">
        <f>'B8 Incidences '!R115</f>
        <v>2.4813121876093025E-2</v>
      </c>
      <c r="F108" s="340">
        <f t="shared" si="6"/>
        <v>6.8723628859333391E-2</v>
      </c>
      <c r="G108" s="340">
        <f t="shared" si="7"/>
        <v>2.2907876286444463E-2</v>
      </c>
    </row>
    <row r="109" spans="1:7" s="240" customFormat="1" x14ac:dyDescent="0.3">
      <c r="A109" s="245">
        <v>2149</v>
      </c>
      <c r="B109" s="246" t="s">
        <v>132</v>
      </c>
      <c r="C109" s="247">
        <f>'B8 Incidences '!$F75</f>
        <v>3.2782516809244655E-2</v>
      </c>
      <c r="D109" s="238">
        <f>'B8 Incidences '!$L75</f>
        <v>1.8080569183337405E-2</v>
      </c>
      <c r="E109" s="338">
        <f>'B8 Incidences '!R75</f>
        <v>1.7973917647796534E-2</v>
      </c>
      <c r="F109" s="340">
        <f t="shared" si="6"/>
        <v>6.8837003640378591E-2</v>
      </c>
      <c r="G109" s="340">
        <f t="shared" si="7"/>
        <v>2.2945667880126197E-2</v>
      </c>
    </row>
    <row r="110" spans="1:7" s="240" customFormat="1" x14ac:dyDescent="0.3">
      <c r="A110" s="245">
        <v>2250</v>
      </c>
      <c r="B110" s="246" t="s">
        <v>211</v>
      </c>
      <c r="C110" s="247">
        <f>'B8 Incidences '!$F119</f>
        <v>2.0378172790700318E-2</v>
      </c>
      <c r="D110" s="238">
        <f>'B8 Incidences '!$L119</f>
        <v>2.4319681590300759E-2</v>
      </c>
      <c r="E110" s="338">
        <f>'B8 Incidences '!R119</f>
        <v>2.421119614720459E-2</v>
      </c>
      <c r="F110" s="340">
        <f t="shared" si="6"/>
        <v>6.8909050528205659E-2</v>
      </c>
      <c r="G110" s="340">
        <f t="shared" si="7"/>
        <v>2.2969683509401886E-2</v>
      </c>
    </row>
    <row r="111" spans="1:7" s="240" customFormat="1" x14ac:dyDescent="0.3">
      <c r="A111" s="245">
        <v>2197</v>
      </c>
      <c r="B111" s="246" t="s">
        <v>171</v>
      </c>
      <c r="C111" s="247">
        <f>'B8 Incidences '!$F97</f>
        <v>2.4182891626220639E-2</v>
      </c>
      <c r="D111" s="238">
        <f>'B8 Incidences '!$L97</f>
        <v>2.312766078934031E-2</v>
      </c>
      <c r="E111" s="338">
        <f>'B8 Incidences '!R97</f>
        <v>2.1803901535485094E-2</v>
      </c>
      <c r="F111" s="340">
        <f t="shared" si="6"/>
        <v>6.911445395104604E-2</v>
      </c>
      <c r="G111" s="340">
        <f t="shared" si="7"/>
        <v>2.3038151317015348E-2</v>
      </c>
    </row>
    <row r="112" spans="1:7" s="240" customFormat="1" x14ac:dyDescent="0.3">
      <c r="A112" s="245">
        <v>2155</v>
      </c>
      <c r="B112" s="246" t="s">
        <v>138</v>
      </c>
      <c r="C112" s="247">
        <f>'B8 Incidences '!$F78</f>
        <v>1.8493359489227378E-2</v>
      </c>
      <c r="D112" s="238">
        <f>'B8 Incidences '!$L78</f>
        <v>2.6211133760041871E-2</v>
      </c>
      <c r="E112" s="338">
        <f>'B8 Incidences '!R78</f>
        <v>2.4473109209741318E-2</v>
      </c>
      <c r="F112" s="340">
        <f t="shared" si="6"/>
        <v>6.917760245901057E-2</v>
      </c>
      <c r="G112" s="340">
        <f t="shared" si="7"/>
        <v>2.3059200819670191E-2</v>
      </c>
    </row>
    <row r="113" spans="1:7" s="240" customFormat="1" x14ac:dyDescent="0.3">
      <c r="A113" s="245">
        <v>2189</v>
      </c>
      <c r="B113" s="246" t="s">
        <v>164</v>
      </c>
      <c r="C113" s="247">
        <f>'B8 Incidences '!$F93</f>
        <v>2.5152009685211297E-2</v>
      </c>
      <c r="D113" s="238">
        <f>'B8 Incidences '!$L93</f>
        <v>2.1907130724050219E-2</v>
      </c>
      <c r="E113" s="338">
        <f>'B8 Incidences '!R93</f>
        <v>2.2338753762261541E-2</v>
      </c>
      <c r="F113" s="340">
        <f t="shared" si="6"/>
        <v>6.9397894171523061E-2</v>
      </c>
      <c r="G113" s="340">
        <f t="shared" si="7"/>
        <v>2.3132631390507686E-2</v>
      </c>
    </row>
    <row r="114" spans="1:7" s="240" customFormat="1" x14ac:dyDescent="0.3">
      <c r="A114" s="245">
        <v>2220</v>
      </c>
      <c r="B114" s="246" t="s">
        <v>189</v>
      </c>
      <c r="C114" s="247">
        <f>'B8 Incidences '!$F106</f>
        <v>2.3495716750623355E-2</v>
      </c>
      <c r="D114" s="238">
        <f>'B8 Incidences '!$L106</f>
        <v>2.3058753577702856E-2</v>
      </c>
      <c r="E114" s="338">
        <f>'B8 Incidences '!R106</f>
        <v>2.2875006576744336E-2</v>
      </c>
      <c r="F114" s="340">
        <f t="shared" si="6"/>
        <v>6.942947690507055E-2</v>
      </c>
      <c r="G114" s="340">
        <f t="shared" si="7"/>
        <v>2.314315896835685E-2</v>
      </c>
    </row>
    <row r="115" spans="1:7" s="240" customFormat="1" x14ac:dyDescent="0.3">
      <c r="A115" s="245">
        <v>2175</v>
      </c>
      <c r="B115" s="246" t="s">
        <v>150</v>
      </c>
      <c r="C115" s="247">
        <f>'B8 Incidences '!$F86</f>
        <v>2.1419979386066681E-2</v>
      </c>
      <c r="D115" s="238">
        <f>'B8 Incidences '!$L86</f>
        <v>2.5148029411087111E-2</v>
      </c>
      <c r="E115" s="338">
        <f>'B8 Incidences '!R86</f>
        <v>2.3050301915041389E-2</v>
      </c>
      <c r="F115" s="340">
        <f t="shared" si="6"/>
        <v>6.9618310712195181E-2</v>
      </c>
      <c r="G115" s="340">
        <f t="shared" si="7"/>
        <v>2.3206103570731728E-2</v>
      </c>
    </row>
    <row r="116" spans="1:7" s="240" customFormat="1" x14ac:dyDescent="0.3">
      <c r="A116" s="245">
        <v>2124</v>
      </c>
      <c r="B116" s="246" t="s">
        <v>97</v>
      </c>
      <c r="C116" s="247">
        <f>'B8 Incidences '!$F60</f>
        <v>2.2642525352846336E-2</v>
      </c>
      <c r="D116" s="238">
        <f>'B8 Incidences '!$L60</f>
        <v>2.3931665356764335E-2</v>
      </c>
      <c r="E116" s="338">
        <f>'B8 Incidences '!R60</f>
        <v>2.3065773188218189E-2</v>
      </c>
      <c r="F116" s="340">
        <f t="shared" si="6"/>
        <v>6.9639963897828866E-2</v>
      </c>
      <c r="G116" s="340">
        <f t="shared" si="7"/>
        <v>2.321332129927629E-2</v>
      </c>
    </row>
    <row r="117" spans="1:7" s="240" customFormat="1" x14ac:dyDescent="0.3">
      <c r="A117" s="245">
        <v>2213</v>
      </c>
      <c r="B117" s="246" t="s">
        <v>184</v>
      </c>
      <c r="C117" s="247">
        <f>'B8 Incidences '!$F103</f>
        <v>2.158642964024347E-2</v>
      </c>
      <c r="D117" s="238">
        <f>'B8 Incidences '!$L103</f>
        <v>2.5296582488757404E-2</v>
      </c>
      <c r="E117" s="338">
        <f>'B8 Incidences '!R103</f>
        <v>2.294792883067294E-2</v>
      </c>
      <c r="F117" s="340">
        <f t="shared" si="6"/>
        <v>6.9830940959673821E-2</v>
      </c>
      <c r="G117" s="340">
        <f t="shared" si="7"/>
        <v>2.3276980319891272E-2</v>
      </c>
    </row>
    <row r="118" spans="1:7" s="240" customFormat="1" x14ac:dyDescent="0.3">
      <c r="A118" s="245">
        <v>2206</v>
      </c>
      <c r="B118" s="246" t="s">
        <v>178</v>
      </c>
      <c r="C118" s="247">
        <f>'B8 Incidences '!$F100</f>
        <v>2.5275407072192588E-2</v>
      </c>
      <c r="D118" s="238">
        <f>'B8 Incidences '!$L100</f>
        <v>2.2770647244053109E-2</v>
      </c>
      <c r="E118" s="338">
        <f>'B8 Incidences '!R100</f>
        <v>2.1864452238179163E-2</v>
      </c>
      <c r="F118" s="340">
        <f t="shared" si="6"/>
        <v>6.9910506554424864E-2</v>
      </c>
      <c r="G118" s="340">
        <f t="shared" si="7"/>
        <v>2.3303502184808287E-2</v>
      </c>
    </row>
    <row r="119" spans="1:7" s="240" customFormat="1" x14ac:dyDescent="0.3">
      <c r="A119" s="254">
        <v>2338</v>
      </c>
      <c r="B119" s="254" t="s">
        <v>297</v>
      </c>
      <c r="C119" s="247">
        <f>'B8 Incidences '!$F170</f>
        <v>1.9583299440197256E-2</v>
      </c>
      <c r="D119" s="238">
        <f>'B8 Incidences '!$L170</f>
        <v>2.4958800831484152E-2</v>
      </c>
      <c r="E119" s="338">
        <f>'B8 Incidences '!R170</f>
        <v>2.5655055035505969E-2</v>
      </c>
      <c r="F119" s="340">
        <f t="shared" si="6"/>
        <v>7.019715530718737E-2</v>
      </c>
      <c r="G119" s="340">
        <f t="shared" si="7"/>
        <v>2.3399051769062457E-2</v>
      </c>
    </row>
    <row r="120" spans="1:7" s="240" customFormat="1" x14ac:dyDescent="0.3">
      <c r="A120" s="245">
        <v>2183</v>
      </c>
      <c r="B120" s="246" t="s">
        <v>156</v>
      </c>
      <c r="C120" s="247">
        <f>'B8 Incidences '!$F89</f>
        <v>1.9676949129510842E-2</v>
      </c>
      <c r="D120" s="238">
        <f>'B8 Incidences '!$L89</f>
        <v>2.5632930977726412E-2</v>
      </c>
      <c r="E120" s="338">
        <f>'B8 Incidences '!R89</f>
        <v>2.493686193971853E-2</v>
      </c>
      <c r="F120" s="340">
        <f t="shared" si="6"/>
        <v>7.0246742046955787E-2</v>
      </c>
      <c r="G120" s="340">
        <f t="shared" si="7"/>
        <v>2.3415580682318596E-2</v>
      </c>
    </row>
    <row r="121" spans="1:7" s="240" customFormat="1" x14ac:dyDescent="0.3">
      <c r="A121" s="245">
        <v>2174</v>
      </c>
      <c r="B121" s="246" t="s">
        <v>148</v>
      </c>
      <c r="C121" s="247">
        <f>'B8 Incidences '!$F85</f>
        <v>1.929447991425073E-2</v>
      </c>
      <c r="D121" s="238">
        <f>'B8 Incidences '!$L85</f>
        <v>2.5524796060779217E-2</v>
      </c>
      <c r="E121" s="338">
        <f>'B8 Incidences '!R85</f>
        <v>2.5819186011386348E-2</v>
      </c>
      <c r="F121" s="340">
        <f t="shared" si="6"/>
        <v>7.0638461986416295E-2</v>
      </c>
      <c r="G121" s="340">
        <f t="shared" si="7"/>
        <v>2.3546153995472097E-2</v>
      </c>
    </row>
    <row r="122" spans="1:7" s="240" customFormat="1" x14ac:dyDescent="0.3">
      <c r="A122" s="245">
        <v>2231</v>
      </c>
      <c r="B122" s="246" t="s">
        <v>204</v>
      </c>
      <c r="C122" s="247">
        <f>'B8 Incidences '!$F114</f>
        <v>2.6451647695402335E-2</v>
      </c>
      <c r="D122" s="238">
        <f>'B8 Incidences '!$L114</f>
        <v>2.3123006245430303E-2</v>
      </c>
      <c r="E122" s="338">
        <f>'B8 Incidences '!R114</f>
        <v>2.1092054990642456E-2</v>
      </c>
      <c r="F122" s="340">
        <f t="shared" si="6"/>
        <v>7.0666708931475086E-2</v>
      </c>
      <c r="G122" s="340">
        <f t="shared" si="7"/>
        <v>2.355556964382503E-2</v>
      </c>
    </row>
    <row r="123" spans="1:7" s="240" customFormat="1" x14ac:dyDescent="0.3">
      <c r="A123" s="245">
        <v>2270</v>
      </c>
      <c r="B123" s="246" t="s">
        <v>234</v>
      </c>
      <c r="C123" s="247">
        <f>'B8 Incidences '!$F131</f>
        <v>1.9676351784019289E-2</v>
      </c>
      <c r="D123" s="238">
        <f>'B8 Incidences '!$L131</f>
        <v>2.5529737351839662E-2</v>
      </c>
      <c r="E123" s="338">
        <f>'B8 Incidences '!R131</f>
        <v>2.559227711197164E-2</v>
      </c>
      <c r="F123" s="340">
        <f t="shared" si="6"/>
        <v>7.0798366247830591E-2</v>
      </c>
      <c r="G123" s="340">
        <f t="shared" si="7"/>
        <v>2.3599455415943531E-2</v>
      </c>
    </row>
    <row r="124" spans="1:7" s="240" customFormat="1" x14ac:dyDescent="0.3">
      <c r="A124" s="245">
        <v>2016</v>
      </c>
      <c r="B124" s="246" t="s">
        <v>18</v>
      </c>
      <c r="C124" s="247">
        <f>'B8 Incidences '!$F17</f>
        <v>1.8148650642722763E-2</v>
      </c>
      <c r="D124" s="238">
        <f>'B8 Incidences '!$L17</f>
        <v>2.7061389595952289E-2</v>
      </c>
      <c r="E124" s="338">
        <f>'B8 Incidences '!R17</f>
        <v>2.6658198232952832E-2</v>
      </c>
      <c r="F124" s="340">
        <f t="shared" si="6"/>
        <v>7.1868238471627877E-2</v>
      </c>
      <c r="G124" s="340">
        <f t="shared" si="7"/>
        <v>2.3956079490542626E-2</v>
      </c>
    </row>
    <row r="125" spans="1:7" s="240" customFormat="1" x14ac:dyDescent="0.3">
      <c r="A125" s="258">
        <v>2333</v>
      </c>
      <c r="B125" s="259" t="s">
        <v>302</v>
      </c>
      <c r="C125" s="247">
        <f>'B8 Incidences '!$F166</f>
        <v>2.0307592580621328E-2</v>
      </c>
      <c r="D125" s="238">
        <f>'B8 Incidences '!$L166</f>
        <v>2.5490414698952277E-2</v>
      </c>
      <c r="E125" s="338">
        <f>'B8 Incidences '!R166</f>
        <v>2.6419312301796557E-2</v>
      </c>
      <c r="F125" s="340">
        <f t="shared" si="6"/>
        <v>7.2217319581370162E-2</v>
      </c>
      <c r="G125" s="340">
        <f t="shared" si="7"/>
        <v>2.4072439860456721E-2</v>
      </c>
    </row>
    <row r="126" spans="1:7" s="240" customFormat="1" x14ac:dyDescent="0.3">
      <c r="A126" s="245">
        <v>2099</v>
      </c>
      <c r="B126" s="246" t="s">
        <v>80</v>
      </c>
      <c r="C126" s="247">
        <f>'B8 Incidences '!$F50</f>
        <v>3.1808631059936622E-2</v>
      </c>
      <c r="D126" s="238">
        <f>'B8 Incidences '!$L50</f>
        <v>2.0588744621328505E-2</v>
      </c>
      <c r="E126" s="338">
        <f>'B8 Incidences '!R50</f>
        <v>2.0012802363150419E-2</v>
      </c>
      <c r="F126" s="340">
        <f t="shared" si="6"/>
        <v>7.2410178044415546E-2</v>
      </c>
      <c r="G126" s="340">
        <f t="shared" si="7"/>
        <v>2.4136726014805182E-2</v>
      </c>
    </row>
    <row r="127" spans="1:7" s="240" customFormat="1" x14ac:dyDescent="0.3">
      <c r="A127" s="245">
        <v>2335</v>
      </c>
      <c r="B127" s="246" t="s">
        <v>304</v>
      </c>
      <c r="C127" s="247">
        <f>'B8 Incidences '!$F167</f>
        <v>3.0119774622858052E-2</v>
      </c>
      <c r="D127" s="238">
        <f>'B8 Incidences '!$L167</f>
        <v>2.1307832085534949E-2</v>
      </c>
      <c r="E127" s="338">
        <f>'B8 Incidences '!R167</f>
        <v>2.1219227146133866E-2</v>
      </c>
      <c r="F127" s="340">
        <f t="shared" si="6"/>
        <v>7.264683385452686E-2</v>
      </c>
      <c r="G127" s="340">
        <f t="shared" si="7"/>
        <v>2.4215611284842287E-2</v>
      </c>
    </row>
    <row r="128" spans="1:7" s="240" customFormat="1" x14ac:dyDescent="0.3">
      <c r="A128" s="245">
        <v>2200</v>
      </c>
      <c r="B128" s="246" t="s">
        <v>175</v>
      </c>
      <c r="C128" s="247">
        <f>'B8 Incidences '!$F99</f>
        <v>2.7438614524753015E-2</v>
      </c>
      <c r="D128" s="238">
        <f>'B8 Incidences '!$L99</f>
        <v>2.2468531822131252E-2</v>
      </c>
      <c r="E128" s="338">
        <f>'B8 Incidences '!R99</f>
        <v>2.2882852671238903E-2</v>
      </c>
      <c r="F128" s="340">
        <f t="shared" si="6"/>
        <v>7.2789999018123178E-2</v>
      </c>
      <c r="G128" s="340">
        <f t="shared" si="7"/>
        <v>2.4263333006041058E-2</v>
      </c>
    </row>
    <row r="129" spans="1:7" s="240" customFormat="1" x14ac:dyDescent="0.3">
      <c r="A129" s="245">
        <v>2138</v>
      </c>
      <c r="B129" s="246" t="s">
        <v>120</v>
      </c>
      <c r="C129" s="247">
        <f>'B8 Incidences '!$F69</f>
        <v>3.2304645762016831E-2</v>
      </c>
      <c r="D129" s="238">
        <f>'B8 Incidences '!$L69</f>
        <v>2.0278518352525254E-2</v>
      </c>
      <c r="E129" s="338">
        <f>'B8 Incidences '!R69</f>
        <v>2.0521510848649824E-2</v>
      </c>
      <c r="F129" s="340">
        <f t="shared" si="6"/>
        <v>7.310467496319191E-2</v>
      </c>
      <c r="G129" s="340">
        <f t="shared" si="7"/>
        <v>2.4368224987730638E-2</v>
      </c>
    </row>
    <row r="130" spans="1:7" s="240" customFormat="1" x14ac:dyDescent="0.3">
      <c r="A130" s="245">
        <v>2265</v>
      </c>
      <c r="B130" s="246" t="s">
        <v>230</v>
      </c>
      <c r="C130" s="247">
        <f>'B8 Incidences '!$F129</f>
        <v>2.6191214578401279E-2</v>
      </c>
      <c r="D130" s="238">
        <f>'B8 Incidences '!$L129</f>
        <v>2.3917544374182493E-2</v>
      </c>
      <c r="E130" s="338">
        <f>'B8 Incidences '!R129</f>
        <v>2.3215607508458806E-2</v>
      </c>
      <c r="F130" s="340">
        <f t="shared" si="6"/>
        <v>7.3324366461042581E-2</v>
      </c>
      <c r="G130" s="340">
        <f t="shared" si="7"/>
        <v>2.4441455487014194E-2</v>
      </c>
    </row>
    <row r="131" spans="1:7" s="240" customFormat="1" x14ac:dyDescent="0.3">
      <c r="A131" s="254">
        <v>2337</v>
      </c>
      <c r="B131" s="255" t="s">
        <v>300</v>
      </c>
      <c r="C131" s="247">
        <f>'B8 Incidences '!$F169</f>
        <v>2.0424101002583597E-2</v>
      </c>
      <c r="D131" s="238">
        <f>'B8 Incidences '!$L169</f>
        <v>2.7218027582315688E-2</v>
      </c>
      <c r="E131" s="338">
        <f>'B8 Incidences '!R169</f>
        <v>2.5894445594661877E-2</v>
      </c>
      <c r="F131" s="340">
        <f t="shared" si="6"/>
        <v>7.3536574179561165E-2</v>
      </c>
      <c r="G131" s="340">
        <f t="shared" si="7"/>
        <v>2.4512191393187055E-2</v>
      </c>
    </row>
    <row r="132" spans="1:7" s="240" customFormat="1" x14ac:dyDescent="0.3">
      <c r="A132" s="245">
        <v>2258</v>
      </c>
      <c r="B132" s="246" t="s">
        <v>219</v>
      </c>
      <c r="C132" s="247">
        <f>'B8 Incidences '!$F123</f>
        <v>3.3520087146264421E-2</v>
      </c>
      <c r="D132" s="238">
        <f>'B8 Incidences '!$L123</f>
        <v>2.0637930848102493E-2</v>
      </c>
      <c r="E132" s="338">
        <f>'B8 Incidences '!R123</f>
        <v>1.9643580737396728E-2</v>
      </c>
      <c r="F132" s="340">
        <f t="shared" si="6"/>
        <v>7.3801598731763646E-2</v>
      </c>
      <c r="G132" s="340">
        <f t="shared" si="7"/>
        <v>2.4600532910587881E-2</v>
      </c>
    </row>
    <row r="133" spans="1:7" s="240" customFormat="1" x14ac:dyDescent="0.3">
      <c r="A133" s="245">
        <v>2125</v>
      </c>
      <c r="B133" s="246" t="s">
        <v>99</v>
      </c>
      <c r="C133" s="247">
        <f>'B8 Incidences '!$F61</f>
        <v>2.3387392096840376E-2</v>
      </c>
      <c r="D133" s="238">
        <f>'B8 Incidences '!$L61</f>
        <v>2.5857113527412986E-2</v>
      </c>
      <c r="E133" s="338">
        <f>'B8 Incidences '!R61</f>
        <v>2.4641080383197251E-2</v>
      </c>
      <c r="F133" s="340">
        <f t="shared" si="6"/>
        <v>7.3885586007450613E-2</v>
      </c>
      <c r="G133" s="340">
        <f t="shared" si="7"/>
        <v>2.4628528669150204E-2</v>
      </c>
    </row>
    <row r="134" spans="1:7" s="240" customFormat="1" x14ac:dyDescent="0.3">
      <c r="A134" s="245">
        <v>2087</v>
      </c>
      <c r="B134" s="246" t="s">
        <v>72</v>
      </c>
      <c r="C134" s="247">
        <f>'B8 Incidences '!$F46</f>
        <v>2.9648888768496792E-2</v>
      </c>
      <c r="D134" s="238">
        <f>'B8 Incidences '!$L46</f>
        <v>2.2122992337944333E-2</v>
      </c>
      <c r="E134" s="338">
        <f>'B8 Incidences '!R46</f>
        <v>2.2160525003265982E-2</v>
      </c>
      <c r="F134" s="340">
        <f t="shared" si="6"/>
        <v>7.3932406109707111E-2</v>
      </c>
      <c r="G134" s="340">
        <f t="shared" si="7"/>
        <v>2.464413536990237E-2</v>
      </c>
    </row>
    <row r="135" spans="1:7" s="261" customFormat="1" x14ac:dyDescent="0.3">
      <c r="A135" s="245">
        <v>2052</v>
      </c>
      <c r="B135" s="246" t="s">
        <v>311</v>
      </c>
      <c r="C135" s="247">
        <f>'B8 Incidences '!$F37</f>
        <v>2.4198524759410429E-2</v>
      </c>
      <c r="D135" s="238">
        <f>'B8 Incidences '!$L37</f>
        <v>2.537087909189464E-2</v>
      </c>
      <c r="E135" s="338">
        <f>'B8 Incidences '!R37</f>
        <v>2.4592667950420817E-2</v>
      </c>
      <c r="F135" s="340">
        <f t="shared" si="6"/>
        <v>7.4162071801725876E-2</v>
      </c>
      <c r="G135" s="340">
        <f t="shared" si="7"/>
        <v>2.4720690600575291E-2</v>
      </c>
    </row>
    <row r="136" spans="1:7" s="240" customFormat="1" x14ac:dyDescent="0.3">
      <c r="A136" s="245">
        <v>2033</v>
      </c>
      <c r="B136" s="246" t="s">
        <v>33</v>
      </c>
      <c r="C136" s="247">
        <f>'B8 Incidences '!$F23</f>
        <v>1.5567020700846007E-2</v>
      </c>
      <c r="D136" s="238">
        <f>'B8 Incidences '!$L23</f>
        <v>2.9594014801834038E-2</v>
      </c>
      <c r="E136" s="338">
        <f>'B8 Incidences '!R23</f>
        <v>2.9150125558548005E-2</v>
      </c>
      <c r="F136" s="340">
        <f t="shared" ref="F136:F167" si="8">C136+D136+E136</f>
        <v>7.4311161061228051E-2</v>
      </c>
      <c r="G136" s="340">
        <f t="shared" ref="G136:G167" si="9">F136/3</f>
        <v>2.4770387020409349E-2</v>
      </c>
    </row>
    <row r="137" spans="1:7" s="240" customFormat="1" x14ac:dyDescent="0.3">
      <c r="A137" s="258">
        <v>2102</v>
      </c>
      <c r="B137" s="259" t="s">
        <v>83</v>
      </c>
      <c r="C137" s="238">
        <f>'B8 Incidences '!$F51</f>
        <v>2.3313772685975603E-2</v>
      </c>
      <c r="D137" s="238">
        <f>'B8 Incidences '!$L51</f>
        <v>2.6088627532224268E-2</v>
      </c>
      <c r="E137" s="238">
        <f>'B8 Incidences '!R51</f>
        <v>2.5370217770426223E-2</v>
      </c>
      <c r="F137" s="340">
        <f t="shared" si="8"/>
        <v>7.4772617988626097E-2</v>
      </c>
      <c r="G137" s="340">
        <f t="shared" si="9"/>
        <v>2.49242059962087E-2</v>
      </c>
    </row>
    <row r="138" spans="1:7" s="240" customFormat="1" x14ac:dyDescent="0.3">
      <c r="A138" s="245">
        <v>2235</v>
      </c>
      <c r="B138" s="246" t="s">
        <v>176</v>
      </c>
      <c r="C138" s="247">
        <f>'B8 Incidences '!$F117</f>
        <v>1.9574985094262393E-2</v>
      </c>
      <c r="D138" s="238">
        <f>'B8 Incidences '!$L117</f>
        <v>2.8165199359100043E-2</v>
      </c>
      <c r="E138" s="338">
        <f>'B8 Incidences '!R117</f>
        <v>2.7153906548536284E-2</v>
      </c>
      <c r="F138" s="340">
        <f t="shared" si="8"/>
        <v>7.4894091001898727E-2</v>
      </c>
      <c r="G138" s="340">
        <f t="shared" si="9"/>
        <v>2.4964697000632908E-2</v>
      </c>
    </row>
    <row r="139" spans="1:7" s="240" customFormat="1" x14ac:dyDescent="0.3">
      <c r="A139" s="245">
        <v>2113</v>
      </c>
      <c r="B139" s="246" t="s">
        <v>89</v>
      </c>
      <c r="C139" s="247">
        <f>'B8 Incidences '!$F53</f>
        <v>2.7321066658473774E-2</v>
      </c>
      <c r="D139" s="238">
        <f>'B8 Incidences '!$L53</f>
        <v>2.3932898975847817E-2</v>
      </c>
      <c r="E139" s="338">
        <f>'B8 Incidences '!R53</f>
        <v>2.3932863520021143E-2</v>
      </c>
      <c r="F139" s="340">
        <f t="shared" si="8"/>
        <v>7.5186829154342744E-2</v>
      </c>
      <c r="G139" s="340">
        <f t="shared" si="9"/>
        <v>2.5062276384780913E-2</v>
      </c>
    </row>
    <row r="140" spans="1:7" s="240" customFormat="1" x14ac:dyDescent="0.3">
      <c r="A140" s="245">
        <v>2027</v>
      </c>
      <c r="B140" s="246" t="s">
        <v>28</v>
      </c>
      <c r="C140" s="247">
        <f>'B8 Incidences '!$F21</f>
        <v>1.942844837181441E-2</v>
      </c>
      <c r="D140" s="238">
        <f>'B8 Incidences '!$L21</f>
        <v>2.7594478059893377E-2</v>
      </c>
      <c r="E140" s="338">
        <f>'B8 Incidences '!R21</f>
        <v>2.8598790548609729E-2</v>
      </c>
      <c r="F140" s="340">
        <f t="shared" si="8"/>
        <v>7.5621716980317513E-2</v>
      </c>
      <c r="G140" s="340">
        <f t="shared" si="9"/>
        <v>2.5207238993439171E-2</v>
      </c>
    </row>
    <row r="141" spans="1:7" s="240" customFormat="1" x14ac:dyDescent="0.3">
      <c r="A141" s="245">
        <v>2257</v>
      </c>
      <c r="B141" s="246" t="s">
        <v>217</v>
      </c>
      <c r="C141" s="247">
        <f>'B8 Incidences '!$F122</f>
        <v>2.6804191170710399E-2</v>
      </c>
      <c r="D141" s="238">
        <f>'B8 Incidences '!$L122</f>
        <v>2.4905502978832338E-2</v>
      </c>
      <c r="E141" s="338">
        <f>'B8 Incidences '!R122</f>
        <v>2.4072539286489756E-2</v>
      </c>
      <c r="F141" s="340">
        <f t="shared" si="8"/>
        <v>7.5782233436032492E-2</v>
      </c>
      <c r="G141" s="340">
        <f t="shared" si="9"/>
        <v>2.5260744478677499E-2</v>
      </c>
    </row>
    <row r="142" spans="1:7" s="240" customFormat="1" x14ac:dyDescent="0.3">
      <c r="A142" s="245">
        <v>2035</v>
      </c>
      <c r="B142" s="246" t="s">
        <v>37</v>
      </c>
      <c r="C142" s="247">
        <f>'B8 Incidences '!$F25</f>
        <v>1.7709799208993283E-2</v>
      </c>
      <c r="D142" s="238">
        <f>'B8 Incidences '!$L25</f>
        <v>3.0434354035109371E-2</v>
      </c>
      <c r="E142" s="338">
        <f>'B8 Incidences '!R25</f>
        <v>2.8612643791507891E-2</v>
      </c>
      <c r="F142" s="340">
        <f t="shared" si="8"/>
        <v>7.6756797035610544E-2</v>
      </c>
      <c r="G142" s="340">
        <f t="shared" si="9"/>
        <v>2.5585599011870182E-2</v>
      </c>
    </row>
    <row r="143" spans="1:7" s="240" customFormat="1" x14ac:dyDescent="0.3">
      <c r="A143" s="245">
        <v>2328</v>
      </c>
      <c r="B143" s="246" t="s">
        <v>299</v>
      </c>
      <c r="C143" s="247">
        <f>'B8 Incidences '!$F165</f>
        <v>1.6885720564993628E-2</v>
      </c>
      <c r="D143" s="238">
        <f>'B8 Incidences '!$L165</f>
        <v>3.041400904584941E-2</v>
      </c>
      <c r="E143" s="338">
        <f>'B8 Incidences '!R165</f>
        <v>3.0429474956716364E-2</v>
      </c>
      <c r="F143" s="340">
        <f t="shared" si="8"/>
        <v>7.7729204567559412E-2</v>
      </c>
      <c r="G143" s="340">
        <f t="shared" si="9"/>
        <v>2.5909734855853139E-2</v>
      </c>
    </row>
    <row r="144" spans="1:7" s="240" customFormat="1" x14ac:dyDescent="0.3">
      <c r="A144" s="245">
        <v>2096</v>
      </c>
      <c r="B144" s="246" t="s">
        <v>76</v>
      </c>
      <c r="C144" s="247">
        <f>'B8 Incidences '!$F48</f>
        <v>2.5431802910762611E-2</v>
      </c>
      <c r="D144" s="238">
        <f>'B8 Incidences '!$L48</f>
        <v>2.7118699159915518E-2</v>
      </c>
      <c r="E144" s="338">
        <f>'B8 Incidences '!R48</f>
        <v>2.5283740847965547E-2</v>
      </c>
      <c r="F144" s="340">
        <f t="shared" si="8"/>
        <v>7.7834242918643673E-2</v>
      </c>
      <c r="G144" s="340">
        <f t="shared" si="9"/>
        <v>2.5944747639547891E-2</v>
      </c>
    </row>
    <row r="145" spans="1:7" s="240" customFormat="1" x14ac:dyDescent="0.3">
      <c r="A145" s="245">
        <v>2323</v>
      </c>
      <c r="B145" s="246" t="s">
        <v>294</v>
      </c>
      <c r="C145" s="247">
        <f>'B8 Incidences '!$F163</f>
        <v>2.1097116529468794E-2</v>
      </c>
      <c r="D145" s="238">
        <f>'B8 Incidences '!$L163</f>
        <v>2.8956326842090149E-2</v>
      </c>
      <c r="E145" s="338">
        <f>'B8 Incidences '!R163</f>
        <v>2.8505465304609123E-2</v>
      </c>
      <c r="F145" s="340">
        <f t="shared" si="8"/>
        <v>7.8558908676168063E-2</v>
      </c>
      <c r="G145" s="340">
        <f t="shared" si="9"/>
        <v>2.6186302892056021E-2</v>
      </c>
    </row>
    <row r="146" spans="1:7" s="240" customFormat="1" x14ac:dyDescent="0.3">
      <c r="A146" s="245">
        <v>2226</v>
      </c>
      <c r="B146" s="246" t="s">
        <v>198</v>
      </c>
      <c r="C146" s="247">
        <f>'B8 Incidences '!$F111</f>
        <v>2.3638685208194784E-2</v>
      </c>
      <c r="D146" s="238">
        <f>'B8 Incidences '!$L111</f>
        <v>2.818575692790461E-2</v>
      </c>
      <c r="E146" s="338">
        <f>'B8 Incidences '!R111</f>
        <v>2.75541276570135E-2</v>
      </c>
      <c r="F146" s="340">
        <f t="shared" si="8"/>
        <v>7.9378569793112891E-2</v>
      </c>
      <c r="G146" s="340">
        <f t="shared" si="9"/>
        <v>2.6459523264370965E-2</v>
      </c>
    </row>
    <row r="147" spans="1:7" s="240" customFormat="1" x14ac:dyDescent="0.3">
      <c r="A147" s="245">
        <v>2278</v>
      </c>
      <c r="B147" s="246" t="s">
        <v>247</v>
      </c>
      <c r="C147" s="247">
        <f>'B8 Incidences '!$F138</f>
        <v>2.7685094636248624E-2</v>
      </c>
      <c r="D147" s="238">
        <f>'B8 Incidences '!$L138</f>
        <v>2.6542544890758645E-2</v>
      </c>
      <c r="E147" s="338">
        <f>'B8 Incidences '!R138</f>
        <v>2.5151827549829853E-2</v>
      </c>
      <c r="F147" s="340">
        <f t="shared" si="8"/>
        <v>7.9379467076837115E-2</v>
      </c>
      <c r="G147" s="340">
        <f t="shared" si="9"/>
        <v>2.6459822358945704E-2</v>
      </c>
    </row>
    <row r="148" spans="1:7" s="240" customFormat="1" x14ac:dyDescent="0.3">
      <c r="A148" s="258">
        <v>2275</v>
      </c>
      <c r="B148" s="259" t="s">
        <v>242</v>
      </c>
      <c r="C148" s="238">
        <f>'B8 Incidences '!$F135</f>
        <v>2.4725888557657418E-2</v>
      </c>
      <c r="D148" s="238">
        <f>'B8 Incidences '!$L135</f>
        <v>2.7995377015953064E-2</v>
      </c>
      <c r="E148" s="238">
        <f>'B8 Incidences '!R135</f>
        <v>2.7137912332262346E-2</v>
      </c>
      <c r="F148" s="340">
        <f t="shared" si="8"/>
        <v>7.9859177905872825E-2</v>
      </c>
      <c r="G148" s="340">
        <f t="shared" si="9"/>
        <v>2.6619725968624275E-2</v>
      </c>
    </row>
    <row r="149" spans="1:7" s="240" customFormat="1" x14ac:dyDescent="0.3">
      <c r="A149" s="245">
        <v>2321</v>
      </c>
      <c r="B149" s="246" t="s">
        <v>386</v>
      </c>
      <c r="C149" s="247">
        <f>'B8 Incidences '!$F162</f>
        <v>2.4222483787798749E-2</v>
      </c>
      <c r="D149" s="238">
        <f>'B8 Incidences '!$L162</f>
        <v>2.7965994203406418E-2</v>
      </c>
      <c r="E149" s="338">
        <f>'B8 Incidences '!R162</f>
        <v>2.7890965781781882E-2</v>
      </c>
      <c r="F149" s="340">
        <f t="shared" si="8"/>
        <v>8.007944377298705E-2</v>
      </c>
      <c r="G149" s="340">
        <f t="shared" si="9"/>
        <v>2.6693147924329017E-2</v>
      </c>
    </row>
    <row r="150" spans="1:7" s="240" customFormat="1" x14ac:dyDescent="0.3">
      <c r="A150" s="245">
        <v>2310</v>
      </c>
      <c r="B150" s="246" t="s">
        <v>291</v>
      </c>
      <c r="C150" s="247">
        <f>'B8 Incidences '!$F161</f>
        <v>4.969323375228623E-2</v>
      </c>
      <c r="D150" s="238">
        <f>'B8 Incidences '!$L161</f>
        <v>1.582678504726584E-2</v>
      </c>
      <c r="E150" s="338">
        <f>'B8 Incidences '!R161</f>
        <v>1.4698187389077886E-2</v>
      </c>
      <c r="F150" s="340">
        <f t="shared" si="8"/>
        <v>8.0218206188629959E-2</v>
      </c>
      <c r="G150" s="340">
        <f t="shared" si="9"/>
        <v>2.6739402062876654E-2</v>
      </c>
    </row>
    <row r="151" spans="1:7" s="240" customFormat="1" x14ac:dyDescent="0.3">
      <c r="A151" s="245">
        <v>2298</v>
      </c>
      <c r="B151" s="246" t="s">
        <v>268</v>
      </c>
      <c r="C151" s="247">
        <f>'B8 Incidences '!$F149</f>
        <v>2.9800656205410836E-2</v>
      </c>
      <c r="D151" s="238">
        <f>'B8 Incidences '!$L149</f>
        <v>2.5796122960438303E-2</v>
      </c>
      <c r="E151" s="338">
        <f>'B8 Incidences '!R149</f>
        <v>2.4719913542246893E-2</v>
      </c>
      <c r="F151" s="340">
        <f t="shared" si="8"/>
        <v>8.0316692708096035E-2</v>
      </c>
      <c r="G151" s="340">
        <f t="shared" si="9"/>
        <v>2.6772230902698677E-2</v>
      </c>
    </row>
    <row r="152" spans="1:7" s="240" customFormat="1" x14ac:dyDescent="0.3">
      <c r="A152" s="245">
        <v>2186</v>
      </c>
      <c r="B152" s="246" t="s">
        <v>162</v>
      </c>
      <c r="C152" s="247">
        <f>'B8 Incidences '!$F92</f>
        <v>1.6880639446049991E-2</v>
      </c>
      <c r="D152" s="238">
        <f>'B8 Incidences '!$L92</f>
        <v>3.2281055638553414E-2</v>
      </c>
      <c r="E152" s="338">
        <f>'B8 Incidences '!R92</f>
        <v>3.1209196155033501E-2</v>
      </c>
      <c r="F152" s="340">
        <f t="shared" si="8"/>
        <v>8.0370891239636907E-2</v>
      </c>
      <c r="G152" s="340">
        <f t="shared" si="9"/>
        <v>2.6790297079878969E-2</v>
      </c>
    </row>
    <row r="153" spans="1:7" s="240" customFormat="1" x14ac:dyDescent="0.3">
      <c r="A153" s="245">
        <v>2152</v>
      </c>
      <c r="B153" s="246" t="s">
        <v>134</v>
      </c>
      <c r="C153" s="247">
        <f>'B8 Incidences '!$F76</f>
        <v>3.0569144852134317E-2</v>
      </c>
      <c r="D153" s="238">
        <f>'B8 Incidences '!$L76</f>
        <v>2.4941563765992006E-2</v>
      </c>
      <c r="E153" s="338">
        <f>'B8 Incidences '!R76</f>
        <v>2.5120719593719081E-2</v>
      </c>
      <c r="F153" s="340">
        <f t="shared" si="8"/>
        <v>8.0631428211845407E-2</v>
      </c>
      <c r="G153" s="340">
        <f t="shared" si="9"/>
        <v>2.6877142737281801E-2</v>
      </c>
    </row>
    <row r="154" spans="1:7" s="240" customFormat="1" x14ac:dyDescent="0.3">
      <c r="A154" s="245">
        <v>2192</v>
      </c>
      <c r="B154" s="246" t="s">
        <v>381</v>
      </c>
      <c r="C154" s="247">
        <f>'B8 Incidences '!$F94</f>
        <v>3.1238361256308959E-2</v>
      </c>
      <c r="D154" s="238">
        <f>'B8 Incidences '!$L94</f>
        <v>2.5243897453759535E-2</v>
      </c>
      <c r="E154" s="338">
        <f>'B8 Incidences '!R94</f>
        <v>2.4619232963650931E-2</v>
      </c>
      <c r="F154" s="340">
        <f t="shared" si="8"/>
        <v>8.1101491673719425E-2</v>
      </c>
      <c r="G154" s="340">
        <f t="shared" si="9"/>
        <v>2.7033830557906476E-2</v>
      </c>
    </row>
    <row r="155" spans="1:7" s="240" customFormat="1" x14ac:dyDescent="0.3">
      <c r="A155" s="245">
        <v>2145</v>
      </c>
      <c r="B155" s="246" t="s">
        <v>126</v>
      </c>
      <c r="C155" s="247">
        <f>'B8 Incidences '!$F72</f>
        <v>3.0154395429176452E-2</v>
      </c>
      <c r="D155" s="238">
        <f>'B8 Incidences '!$L72</f>
        <v>2.5614469845163777E-2</v>
      </c>
      <c r="E155" s="338">
        <f>'B8 Incidences '!R72</f>
        <v>2.5748462943890282E-2</v>
      </c>
      <c r="F155" s="340">
        <f t="shared" si="8"/>
        <v>8.1517328218230517E-2</v>
      </c>
      <c r="G155" s="340">
        <f t="shared" si="9"/>
        <v>2.7172442739410173E-2</v>
      </c>
    </row>
    <row r="156" spans="1:7" s="240" customFormat="1" x14ac:dyDescent="0.3">
      <c r="A156" s="245">
        <v>2222</v>
      </c>
      <c r="B156" s="246" t="s">
        <v>193</v>
      </c>
      <c r="C156" s="247">
        <f>'B8 Incidences '!$F108</f>
        <v>2.5315979621077189E-2</v>
      </c>
      <c r="D156" s="238">
        <f>'B8 Incidences '!$L108</f>
        <v>2.9193516319102802E-2</v>
      </c>
      <c r="E156" s="338">
        <f>'B8 Incidences '!R108</f>
        <v>2.8558936506106192E-2</v>
      </c>
      <c r="F156" s="340">
        <f t="shared" si="8"/>
        <v>8.3068432446286186E-2</v>
      </c>
      <c r="G156" s="340">
        <f t="shared" si="9"/>
        <v>2.7689477482095395E-2</v>
      </c>
    </row>
    <row r="157" spans="1:7" s="240" customFormat="1" x14ac:dyDescent="0.3">
      <c r="A157" s="245">
        <v>2196</v>
      </c>
      <c r="B157" s="246" t="s">
        <v>169</v>
      </c>
      <c r="C157" s="247">
        <f>'B8 Incidences '!$F96</f>
        <v>3.0126623577108522E-2</v>
      </c>
      <c r="D157" s="238">
        <f>'B8 Incidences '!$L96</f>
        <v>2.7046029797080783E-2</v>
      </c>
      <c r="E157" s="338">
        <f>'B8 Incidences '!R96</f>
        <v>2.6059914463339617E-2</v>
      </c>
      <c r="F157" s="340">
        <f t="shared" si="8"/>
        <v>8.3232567837528929E-2</v>
      </c>
      <c r="G157" s="340">
        <f t="shared" si="9"/>
        <v>2.774418927917631E-2</v>
      </c>
    </row>
    <row r="158" spans="1:7" s="240" customFormat="1" x14ac:dyDescent="0.3">
      <c r="A158" s="245">
        <v>2264</v>
      </c>
      <c r="B158" s="246" t="s">
        <v>228</v>
      </c>
      <c r="C158" s="247">
        <f>'B8 Incidences '!$F128</f>
        <v>3.3596479573993858E-2</v>
      </c>
      <c r="D158" s="238">
        <f>'B8 Incidences '!$L128</f>
        <v>2.4724320390834359E-2</v>
      </c>
      <c r="E158" s="338">
        <f>'B8 Incidences '!R128</f>
        <v>2.5331265368470253E-2</v>
      </c>
      <c r="F158" s="340">
        <f t="shared" si="8"/>
        <v>8.365206533329847E-2</v>
      </c>
      <c r="G158" s="340">
        <f t="shared" si="9"/>
        <v>2.7884021777766155E-2</v>
      </c>
    </row>
    <row r="159" spans="1:7" s="240" customFormat="1" x14ac:dyDescent="0.3">
      <c r="A159" s="245">
        <v>2160</v>
      </c>
      <c r="B159" s="246" t="s">
        <v>140</v>
      </c>
      <c r="C159" s="247">
        <f>'B8 Incidences '!$F79</f>
        <v>2.7377375429434414E-2</v>
      </c>
      <c r="D159" s="238">
        <f>'B8 Incidences '!$L79</f>
        <v>2.8597495840988592E-2</v>
      </c>
      <c r="E159" s="338">
        <f>'B8 Incidences '!R79</f>
        <v>2.8054684507838615E-2</v>
      </c>
      <c r="F159" s="340">
        <f t="shared" si="8"/>
        <v>8.4029555778261628E-2</v>
      </c>
      <c r="G159" s="340">
        <f t="shared" si="9"/>
        <v>2.8009851926087209E-2</v>
      </c>
    </row>
    <row r="160" spans="1:7" s="240" customFormat="1" x14ac:dyDescent="0.3">
      <c r="A160" s="245">
        <v>2013</v>
      </c>
      <c r="B160" s="246" t="s">
        <v>12</v>
      </c>
      <c r="C160" s="247">
        <f>'B8 Incidences '!$F14</f>
        <v>2.4701964589900101E-2</v>
      </c>
      <c r="D160" s="238">
        <f>'B8 Incidences '!$L14</f>
        <v>2.9916631499847426E-2</v>
      </c>
      <c r="E160" s="338">
        <f>'B8 Incidences '!R14</f>
        <v>2.9497191693060042E-2</v>
      </c>
      <c r="F160" s="340">
        <f t="shared" si="8"/>
        <v>8.4115787782807566E-2</v>
      </c>
      <c r="G160" s="340">
        <f t="shared" si="9"/>
        <v>2.8038595927602522E-2</v>
      </c>
    </row>
    <row r="161" spans="1:7" s="240" customFormat="1" x14ac:dyDescent="0.3">
      <c r="A161" s="258">
        <v>2015</v>
      </c>
      <c r="B161" s="259" t="s">
        <v>16</v>
      </c>
      <c r="C161" s="238">
        <f>'B8 Incidences '!$F16</f>
        <v>3.1691924718661404E-2</v>
      </c>
      <c r="D161" s="238">
        <f>'B8 Incidences '!$L16</f>
        <v>2.65714945941962E-2</v>
      </c>
      <c r="E161" s="238">
        <f>'B8 Incidences '!R16</f>
        <v>2.5864075384852456E-2</v>
      </c>
      <c r="F161" s="340">
        <f t="shared" si="8"/>
        <v>8.4127494697710054E-2</v>
      </c>
      <c r="G161" s="340">
        <f t="shared" si="9"/>
        <v>2.8042498232570018E-2</v>
      </c>
    </row>
    <row r="162" spans="1:7" s="240" customFormat="1" x14ac:dyDescent="0.3">
      <c r="A162" s="245">
        <v>2068</v>
      </c>
      <c r="B162" s="246" t="s">
        <v>64</v>
      </c>
      <c r="C162" s="247">
        <f>'B8 Incidences '!$F42</f>
        <v>2.1007922719802112E-2</v>
      </c>
      <c r="D162" s="238">
        <f>'B8 Incidences '!$L42</f>
        <v>3.3091640357444052E-2</v>
      </c>
      <c r="E162" s="338">
        <f>'B8 Incidences '!R42</f>
        <v>3.1355989630765253E-2</v>
      </c>
      <c r="F162" s="340">
        <f t="shared" si="8"/>
        <v>8.5455552708011417E-2</v>
      </c>
      <c r="G162" s="340">
        <f t="shared" si="9"/>
        <v>2.8485184236003807E-2</v>
      </c>
    </row>
    <row r="163" spans="1:7" s="240" customFormat="1" x14ac:dyDescent="0.3">
      <c r="A163" s="245">
        <v>2254</v>
      </c>
      <c r="B163" s="246" t="s">
        <v>215</v>
      </c>
      <c r="C163" s="247">
        <f>'B8 Incidences '!$F121</f>
        <v>2.6103082192872121E-2</v>
      </c>
      <c r="D163" s="238">
        <f>'B8 Incidences '!$L121</f>
        <v>3.0683239658622626E-2</v>
      </c>
      <c r="E163" s="338">
        <f>'B8 Incidences '!R121</f>
        <v>2.982607664486019E-2</v>
      </c>
      <c r="F163" s="340">
        <f t="shared" si="8"/>
        <v>8.6612398496354936E-2</v>
      </c>
      <c r="G163" s="340">
        <f t="shared" si="9"/>
        <v>2.8870799498784978E-2</v>
      </c>
    </row>
    <row r="164" spans="1:7" s="240" customFormat="1" x14ac:dyDescent="0.3">
      <c r="A164" s="245">
        <v>2228</v>
      </c>
      <c r="B164" s="246" t="s">
        <v>200</v>
      </c>
      <c r="C164" s="247">
        <f>'B8 Incidences '!$F112</f>
        <v>2.9797197114535327E-2</v>
      </c>
      <c r="D164" s="238">
        <f>'B8 Incidences '!$L112</f>
        <v>3.0333375277697378E-2</v>
      </c>
      <c r="E164" s="338">
        <f>'B8 Incidences '!R112</f>
        <v>2.9785159265101231E-2</v>
      </c>
      <c r="F164" s="340">
        <f t="shared" si="8"/>
        <v>8.9915731657333936E-2</v>
      </c>
      <c r="G164" s="340">
        <f t="shared" si="9"/>
        <v>2.9971910552444646E-2</v>
      </c>
    </row>
    <row r="165" spans="1:7" s="240" customFormat="1" x14ac:dyDescent="0.3">
      <c r="A165" s="245">
        <v>2043</v>
      </c>
      <c r="B165" s="246" t="s">
        <v>47</v>
      </c>
      <c r="C165" s="247">
        <f>'B8 Incidences '!$F30</f>
        <v>8.8212642647122266E-3</v>
      </c>
      <c r="D165" s="238">
        <f>'B8 Incidences '!$L30</f>
        <v>4.3176083367082535E-2</v>
      </c>
      <c r="E165" s="338">
        <f>'B8 Incidences '!R30</f>
        <v>3.9843317460556985E-2</v>
      </c>
      <c r="F165" s="340">
        <f t="shared" si="8"/>
        <v>9.1840665092351753E-2</v>
      </c>
      <c r="G165" s="340">
        <f t="shared" si="9"/>
        <v>3.0613555030783918E-2</v>
      </c>
    </row>
    <row r="166" spans="1:7" s="240" customFormat="1" x14ac:dyDescent="0.3">
      <c r="A166" s="245">
        <v>2208</v>
      </c>
      <c r="B166" s="246" t="s">
        <v>180</v>
      </c>
      <c r="C166" s="247">
        <f>'B8 Incidences '!$F101</f>
        <v>3.5429808405323455E-2</v>
      </c>
      <c r="D166" s="238">
        <f>'B8 Incidences '!$L101</f>
        <v>3.0203707377046383E-2</v>
      </c>
      <c r="E166" s="338">
        <f>'B8 Incidences '!R101</f>
        <v>2.8599303953657052E-2</v>
      </c>
      <c r="F166" s="340">
        <f t="shared" si="8"/>
        <v>9.4232819736026888E-2</v>
      </c>
      <c r="G166" s="340">
        <f t="shared" si="9"/>
        <v>3.141093991200896E-2</v>
      </c>
    </row>
    <row r="167" spans="1:7" s="240" customFormat="1" x14ac:dyDescent="0.3">
      <c r="A167" s="245">
        <v>2271</v>
      </c>
      <c r="B167" s="246" t="s">
        <v>384</v>
      </c>
      <c r="C167" s="247">
        <f>'B8 Incidences '!$F132</f>
        <v>3.0674288956535373E-2</v>
      </c>
      <c r="D167" s="238">
        <f>'B8 Incidences '!$L132</f>
        <v>3.1791420541572218E-2</v>
      </c>
      <c r="E167" s="338">
        <f>'B8 Incidences '!R132</f>
        <v>3.190773672437134E-2</v>
      </c>
      <c r="F167" s="340">
        <f t="shared" si="8"/>
        <v>9.4373446222478924E-2</v>
      </c>
      <c r="G167" s="340">
        <f t="shared" si="9"/>
        <v>3.1457815407492977E-2</v>
      </c>
    </row>
    <row r="168" spans="1:7" s="240" customFormat="1" x14ac:dyDescent="0.3">
      <c r="A168" s="245">
        <v>2140</v>
      </c>
      <c r="B168" s="246" t="s">
        <v>122</v>
      </c>
      <c r="C168" s="247">
        <f>'B8 Incidences '!$F70</f>
        <v>3.168765506195715E-2</v>
      </c>
      <c r="D168" s="238">
        <f>'B8 Incidences '!$L70</f>
        <v>3.2594096200433485E-2</v>
      </c>
      <c r="E168" s="338">
        <f>'B8 Incidences '!R70</f>
        <v>3.2727335239824143E-2</v>
      </c>
      <c r="F168" s="340">
        <f t="shared" ref="F168:F170" si="10">C168+D168+E168</f>
        <v>9.7009086502214778E-2</v>
      </c>
      <c r="G168" s="340">
        <f t="shared" ref="G168:G170" si="11">F168/3</f>
        <v>3.2336362167404924E-2</v>
      </c>
    </row>
    <row r="169" spans="1:7" s="240" customFormat="1" x14ac:dyDescent="0.3">
      <c r="A169" s="245">
        <v>2038</v>
      </c>
      <c r="B169" s="246" t="s">
        <v>39</v>
      </c>
      <c r="C169" s="247">
        <f>'B8 Incidences '!$F26</f>
        <v>2.2915741325567975E-2</v>
      </c>
      <c r="D169" s="238">
        <f>'B8 Incidences '!$L26</f>
        <v>3.5504104396518861E-2</v>
      </c>
      <c r="E169" s="338">
        <f>'B8 Incidences '!R26</f>
        <v>4.0086458450751143E-2</v>
      </c>
      <c r="F169" s="340">
        <f t="shared" si="10"/>
        <v>9.8506304172837983E-2</v>
      </c>
      <c r="G169" s="340">
        <f t="shared" si="11"/>
        <v>3.2835434724279328E-2</v>
      </c>
    </row>
    <row r="170" spans="1:7" s="240" customFormat="1" x14ac:dyDescent="0.3">
      <c r="A170" s="256">
        <v>2063</v>
      </c>
      <c r="B170" s="257" t="s">
        <v>59</v>
      </c>
      <c r="C170" s="247">
        <f>'B8 Incidences '!$F39</f>
        <v>4.4990716727229374E-2</v>
      </c>
      <c r="D170" s="238">
        <f>'B8 Incidences '!$L39</f>
        <v>2.7342222135549061E-2</v>
      </c>
      <c r="E170" s="338">
        <f>'B8 Incidences '!R39</f>
        <v>2.623257079712174E-2</v>
      </c>
      <c r="F170" s="340">
        <f t="shared" si="10"/>
        <v>9.8565509659900172E-2</v>
      </c>
      <c r="G170" s="340">
        <f t="shared" si="11"/>
        <v>3.2855169886633388E-2</v>
      </c>
    </row>
    <row r="171" spans="1:7" x14ac:dyDescent="0.25">
      <c r="D171" s="232"/>
    </row>
  </sheetData>
  <sortState ref="A8:G170">
    <sortCondition ref="G8:G170"/>
  </sortState>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70"/>
  <sheetViews>
    <sheetView topLeftCell="E1" workbookViewId="0">
      <selection activeCell="C171" sqref="C171"/>
    </sheetView>
  </sheetViews>
  <sheetFormatPr baseColWidth="10" defaultRowHeight="13.2" x14ac:dyDescent="0.25"/>
  <cols>
    <col min="1" max="1" width="6.88671875" customWidth="1"/>
    <col min="2" max="2" width="22.6640625" customWidth="1"/>
    <col min="3" max="3" width="10.6640625" style="224" customWidth="1"/>
    <col min="4" max="5" width="10.6640625" customWidth="1"/>
    <col min="10" max="10" width="4.109375" customWidth="1"/>
  </cols>
  <sheetData>
    <row r="1" spans="1:9" x14ac:dyDescent="0.25">
      <c r="A1" s="92" t="s">
        <v>450</v>
      </c>
    </row>
    <row r="6" spans="1:9" s="240" customFormat="1" x14ac:dyDescent="0.3">
      <c r="A6" s="239"/>
      <c r="B6" s="239"/>
      <c r="C6" s="324"/>
      <c r="D6" s="326"/>
      <c r="E6" s="326"/>
    </row>
    <row r="7" spans="1:9" s="240" customFormat="1" ht="26.4" x14ac:dyDescent="0.3">
      <c r="A7" s="239"/>
      <c r="B7" s="239"/>
      <c r="C7" s="233" t="s">
        <v>423</v>
      </c>
      <c r="D7" s="234" t="s">
        <v>425</v>
      </c>
      <c r="E7" s="235" t="s">
        <v>426</v>
      </c>
      <c r="F7" s="356" t="s">
        <v>443</v>
      </c>
      <c r="H7" s="240" t="s">
        <v>490</v>
      </c>
    </row>
    <row r="8" spans="1:9" s="240" customFormat="1" x14ac:dyDescent="0.3">
      <c r="A8" s="241">
        <v>2130</v>
      </c>
      <c r="B8" s="242" t="s">
        <v>109</v>
      </c>
      <c r="C8" s="244">
        <f>'B8 Incidences '!$H64</f>
        <v>0.1221708378766061</v>
      </c>
      <c r="D8" s="352">
        <f>'B8 Incidences '!$N64</f>
        <v>0.10270241622361521</v>
      </c>
      <c r="E8" s="249"/>
      <c r="F8" s="357">
        <f t="shared" ref="F8:F39" si="0">(C8+D8)/2</f>
        <v>0.11243662705011065</v>
      </c>
      <c r="H8" s="240" t="s">
        <v>483</v>
      </c>
      <c r="I8" s="240">
        <v>1</v>
      </c>
    </row>
    <row r="9" spans="1:9" s="240" customFormat="1" x14ac:dyDescent="0.3">
      <c r="A9" s="245">
        <v>2261</v>
      </c>
      <c r="B9" s="246" t="s">
        <v>225</v>
      </c>
      <c r="C9" s="248">
        <f>'B8 Incidences '!$H126</f>
        <v>0.20673279595354879</v>
      </c>
      <c r="D9" s="353">
        <f>'B8 Incidences '!$N126</f>
        <v>0.18708324507978202</v>
      </c>
      <c r="E9" s="249"/>
      <c r="F9" s="357">
        <f t="shared" si="0"/>
        <v>0.19690802051666539</v>
      </c>
      <c r="H9" s="240" t="s">
        <v>484</v>
      </c>
      <c r="I9" s="240">
        <v>4</v>
      </c>
    </row>
    <row r="10" spans="1:9" s="240" customFormat="1" x14ac:dyDescent="0.3">
      <c r="A10" s="245">
        <v>2194</v>
      </c>
      <c r="B10" s="246" t="s">
        <v>167</v>
      </c>
      <c r="C10" s="248">
        <f>'B8 Incidences '!$H95</f>
        <v>0.23929557468828749</v>
      </c>
      <c r="D10" s="353">
        <f>'B8 Incidences '!$N95</f>
        <v>0.38174406552263973</v>
      </c>
      <c r="E10" s="249"/>
      <c r="F10" s="357">
        <f t="shared" si="0"/>
        <v>0.31051982010546364</v>
      </c>
      <c r="H10" s="240" t="s">
        <v>485</v>
      </c>
      <c r="I10" s="240">
        <v>10</v>
      </c>
    </row>
    <row r="11" spans="1:9" s="240" customFormat="1" x14ac:dyDescent="0.3">
      <c r="A11" s="245">
        <v>2099</v>
      </c>
      <c r="B11" s="246" t="s">
        <v>80</v>
      </c>
      <c r="C11" s="248">
        <f>'B8 Incidences '!$H50</f>
        <v>0.46915773026311558</v>
      </c>
      <c r="D11" s="353">
        <f>'B8 Incidences '!$N50</f>
        <v>0.34120960026605107</v>
      </c>
      <c r="E11" s="249"/>
      <c r="F11" s="357">
        <f t="shared" si="0"/>
        <v>0.40518366526458333</v>
      </c>
      <c r="H11" s="240" t="s">
        <v>486</v>
      </c>
      <c r="I11" s="240">
        <v>29</v>
      </c>
    </row>
    <row r="12" spans="1:9" s="240" customFormat="1" x14ac:dyDescent="0.3">
      <c r="A12" s="245">
        <v>2257</v>
      </c>
      <c r="B12" s="246" t="s">
        <v>217</v>
      </c>
      <c r="C12" s="248">
        <f>'B8 Incidences '!$H122</f>
        <v>0.48547011350581742</v>
      </c>
      <c r="D12" s="353">
        <f>'B8 Incidences '!$N122</f>
        <v>0.49259335698321938</v>
      </c>
      <c r="E12" s="249"/>
      <c r="F12" s="357">
        <f t="shared" si="0"/>
        <v>0.48903173524451837</v>
      </c>
      <c r="H12" s="240" t="s">
        <v>487</v>
      </c>
      <c r="I12" s="240">
        <v>39</v>
      </c>
    </row>
    <row r="13" spans="1:9" s="240" customFormat="1" x14ac:dyDescent="0.3">
      <c r="A13" s="245">
        <v>2281</v>
      </c>
      <c r="B13" s="246" t="s">
        <v>253</v>
      </c>
      <c r="C13" s="248">
        <f>'B8 Incidences '!$H141</f>
        <v>0.43048739313467799</v>
      </c>
      <c r="D13" s="353">
        <f>'B8 Incidences '!$N141</f>
        <v>0.58480881831534637</v>
      </c>
      <c r="E13" s="249"/>
      <c r="F13" s="357">
        <f t="shared" si="0"/>
        <v>0.50764810572501218</v>
      </c>
      <c r="H13" s="240" t="s">
        <v>488</v>
      </c>
      <c r="I13" s="240">
        <v>36</v>
      </c>
    </row>
    <row r="14" spans="1:9" s="240" customFormat="1" x14ac:dyDescent="0.3">
      <c r="A14" s="245">
        <v>2274</v>
      </c>
      <c r="B14" s="246" t="s">
        <v>240</v>
      </c>
      <c r="C14" s="248">
        <f>'B8 Incidences '!$H134</f>
        <v>0.3929537357486258</v>
      </c>
      <c r="D14" s="353">
        <f>'B8 Incidences '!$N134</f>
        <v>0.67934784481305555</v>
      </c>
      <c r="E14" s="249"/>
      <c r="F14" s="357">
        <f t="shared" si="0"/>
        <v>0.53615079028084067</v>
      </c>
      <c r="H14" s="240" t="s">
        <v>470</v>
      </c>
      <c r="I14" s="240">
        <v>20</v>
      </c>
    </row>
    <row r="15" spans="1:9" s="240" customFormat="1" x14ac:dyDescent="0.3">
      <c r="A15" s="245">
        <v>2008</v>
      </c>
      <c r="B15" s="246" t="s">
        <v>4</v>
      </c>
      <c r="C15" s="248">
        <f>'B8 Incidences '!$H10</f>
        <v>0.47258383559778588</v>
      </c>
      <c r="D15" s="353">
        <f>'B8 Incidences '!$N10</f>
        <v>0.70854148185077348</v>
      </c>
      <c r="E15" s="237"/>
      <c r="F15" s="357">
        <f t="shared" si="0"/>
        <v>0.59056265872427971</v>
      </c>
      <c r="H15" s="240" t="s">
        <v>469</v>
      </c>
      <c r="I15" s="240">
        <v>13</v>
      </c>
    </row>
    <row r="16" spans="1:9" s="261" customFormat="1" x14ac:dyDescent="0.3">
      <c r="A16" s="245">
        <v>2010</v>
      </c>
      <c r="B16" s="246" t="s">
        <v>8</v>
      </c>
      <c r="C16" s="248">
        <f>'B8 Incidences '!$H12</f>
        <v>0.35709466535090606</v>
      </c>
      <c r="D16" s="353">
        <f>'B8 Incidences '!$N12</f>
        <v>0.82552332188450572</v>
      </c>
      <c r="E16" s="249"/>
      <c r="F16" s="357">
        <f t="shared" si="0"/>
        <v>0.59130899361770584</v>
      </c>
      <c r="H16" s="261" t="s">
        <v>471</v>
      </c>
      <c r="I16" s="261">
        <v>7</v>
      </c>
    </row>
    <row r="17" spans="1:9" s="240" customFormat="1" x14ac:dyDescent="0.3">
      <c r="A17" s="245">
        <v>2266</v>
      </c>
      <c r="B17" s="246" t="s">
        <v>232</v>
      </c>
      <c r="C17" s="248">
        <f>'B8 Incidences '!$H130</f>
        <v>0.65505387410557048</v>
      </c>
      <c r="D17" s="353">
        <f>'B8 Incidences '!$N130</f>
        <v>0.53308773285434041</v>
      </c>
      <c r="E17" s="249"/>
      <c r="F17" s="357">
        <f t="shared" si="0"/>
        <v>0.59407080347995544</v>
      </c>
      <c r="H17" s="240" t="s">
        <v>472</v>
      </c>
      <c r="I17" s="240">
        <v>2</v>
      </c>
    </row>
    <row r="18" spans="1:9" s="240" customFormat="1" x14ac:dyDescent="0.3">
      <c r="A18" s="245">
        <v>2179</v>
      </c>
      <c r="B18" s="246" t="s">
        <v>154</v>
      </c>
      <c r="C18" s="248">
        <f>'B8 Incidences '!$H88</f>
        <v>0.79271878892367598</v>
      </c>
      <c r="D18" s="353">
        <f>'B8 Incidences '!$N88</f>
        <v>0.42907029159786814</v>
      </c>
      <c r="E18" s="249"/>
      <c r="F18" s="357">
        <f t="shared" si="0"/>
        <v>0.61089454026077206</v>
      </c>
      <c r="H18" s="240" t="s">
        <v>489</v>
      </c>
      <c r="I18" s="240">
        <v>2</v>
      </c>
    </row>
    <row r="19" spans="1:9" s="240" customFormat="1" x14ac:dyDescent="0.3">
      <c r="A19" s="245">
        <v>2216</v>
      </c>
      <c r="B19" s="246" t="s">
        <v>186</v>
      </c>
      <c r="C19" s="248">
        <f>'B8 Incidences '!$H104</f>
        <v>0.41859651670875631</v>
      </c>
      <c r="D19" s="353">
        <f>'B8 Incidences '!$N104</f>
        <v>0.80581948119964086</v>
      </c>
      <c r="E19" s="249"/>
      <c r="F19" s="357">
        <f t="shared" si="0"/>
        <v>0.61220799895419864</v>
      </c>
    </row>
    <row r="20" spans="1:9" s="240" customFormat="1" x14ac:dyDescent="0.3">
      <c r="A20" s="245">
        <v>2051</v>
      </c>
      <c r="B20" s="246" t="s">
        <v>310</v>
      </c>
      <c r="C20" s="248">
        <f>'B8 Incidences '!$H36</f>
        <v>0.67835475191833383</v>
      </c>
      <c r="D20" s="353">
        <f>'B8 Incidences '!$N36</f>
        <v>0.54751781798241905</v>
      </c>
      <c r="E20" s="249"/>
      <c r="F20" s="357">
        <f t="shared" si="0"/>
        <v>0.61293628495037644</v>
      </c>
      <c r="I20" s="240">
        <f>SUM(I8:I19)</f>
        <v>163</v>
      </c>
    </row>
    <row r="21" spans="1:9" s="240" customFormat="1" x14ac:dyDescent="0.3">
      <c r="A21" s="245">
        <v>2128</v>
      </c>
      <c r="B21" s="246" t="s">
        <v>105</v>
      </c>
      <c r="C21" s="248">
        <f>'B8 Incidences '!$H62</f>
        <v>0.56550594594407033</v>
      </c>
      <c r="D21" s="353">
        <f>'B8 Incidences '!$N62</f>
        <v>0.69225548067285869</v>
      </c>
      <c r="E21" s="249"/>
      <c r="F21" s="357">
        <f t="shared" si="0"/>
        <v>0.62888071330846451</v>
      </c>
    </row>
    <row r="22" spans="1:9" s="240" customFormat="1" x14ac:dyDescent="0.3">
      <c r="A22" s="245">
        <v>2198</v>
      </c>
      <c r="B22" s="246" t="s">
        <v>173</v>
      </c>
      <c r="C22" s="248">
        <f>'B8 Incidences '!$H98</f>
        <v>0.72712779505828151</v>
      </c>
      <c r="D22" s="353">
        <f>'B8 Incidences '!$N98</f>
        <v>0.74744771882660233</v>
      </c>
      <c r="E22" s="249"/>
      <c r="F22" s="357">
        <f t="shared" si="0"/>
        <v>0.73728775694244186</v>
      </c>
    </row>
    <row r="23" spans="1:9" s="240" customFormat="1" x14ac:dyDescent="0.3">
      <c r="A23" s="258">
        <v>2022</v>
      </c>
      <c r="B23" s="259" t="s">
        <v>22</v>
      </c>
      <c r="C23" s="248">
        <f>'B8 Incidences '!$H18</f>
        <v>0.61345604430647926</v>
      </c>
      <c r="D23" s="353">
        <f>'B8 Incidences '!$N18</f>
        <v>0.91078615647298</v>
      </c>
      <c r="E23" s="260"/>
      <c r="F23" s="357">
        <f t="shared" si="0"/>
        <v>0.76212110038972969</v>
      </c>
    </row>
    <row r="24" spans="1:9" s="240" customFormat="1" x14ac:dyDescent="0.3">
      <c r="A24" s="245">
        <v>2259</v>
      </c>
      <c r="B24" s="246" t="s">
        <v>221</v>
      </c>
      <c r="C24" s="248">
        <f>'B8 Incidences '!$H124</f>
        <v>0.80106374037938322</v>
      </c>
      <c r="D24" s="353">
        <f>'B8 Incidences '!$N124</f>
        <v>0.77623268423282854</v>
      </c>
      <c r="E24" s="249"/>
      <c r="F24" s="357">
        <f t="shared" si="0"/>
        <v>0.78864821230610582</v>
      </c>
    </row>
    <row r="25" spans="1:9" s="240" customFormat="1" x14ac:dyDescent="0.3">
      <c r="A25" s="245">
        <v>2197</v>
      </c>
      <c r="B25" s="246" t="s">
        <v>171</v>
      </c>
      <c r="C25" s="248">
        <f>'B8 Incidences '!$H97</f>
        <v>0.80275056350409824</v>
      </c>
      <c r="D25" s="353">
        <f>'B8 Incidences '!$N97</f>
        <v>0.77642534727261914</v>
      </c>
      <c r="E25" s="249"/>
      <c r="F25" s="357">
        <f t="shared" si="0"/>
        <v>0.78958795538835869</v>
      </c>
    </row>
    <row r="26" spans="1:9" s="240" customFormat="1" x14ac:dyDescent="0.3">
      <c r="A26" s="245">
        <v>2039</v>
      </c>
      <c r="B26" s="246" t="s">
        <v>41</v>
      </c>
      <c r="C26" s="248">
        <f>'B8 Incidences '!$H27</f>
        <v>0.88986697221240252</v>
      </c>
      <c r="D26" s="353">
        <f>'B8 Incidences '!$N27</f>
        <v>0.71461242234331235</v>
      </c>
      <c r="E26" s="249"/>
      <c r="F26" s="357">
        <f t="shared" si="0"/>
        <v>0.80223969727785738</v>
      </c>
    </row>
    <row r="27" spans="1:9" s="240" customFormat="1" x14ac:dyDescent="0.3">
      <c r="A27" s="245">
        <v>2301</v>
      </c>
      <c r="B27" s="246" t="s">
        <v>274</v>
      </c>
      <c r="C27" s="248">
        <f>'B8 Incidences '!$H152</f>
        <v>0.769245178395359</v>
      </c>
      <c r="D27" s="353">
        <f>'B8 Incidences '!$N152</f>
        <v>0.86863548282008862</v>
      </c>
      <c r="E27" s="249"/>
      <c r="F27" s="357">
        <f t="shared" si="0"/>
        <v>0.81894033060772387</v>
      </c>
    </row>
    <row r="28" spans="1:9" s="240" customFormat="1" x14ac:dyDescent="0.3">
      <c r="A28" s="245">
        <v>2308</v>
      </c>
      <c r="B28" s="246" t="s">
        <v>308</v>
      </c>
      <c r="C28" s="248">
        <f>'B8 Incidences '!$H159</f>
        <v>0.80056851568367804</v>
      </c>
      <c r="D28" s="353">
        <f>'B8 Incidences '!$N159</f>
        <v>0.83949707864263678</v>
      </c>
      <c r="E28" s="249"/>
      <c r="F28" s="357">
        <f t="shared" si="0"/>
        <v>0.82003279716315736</v>
      </c>
    </row>
    <row r="29" spans="1:9" s="240" customFormat="1" x14ac:dyDescent="0.3">
      <c r="A29" s="245">
        <v>2251</v>
      </c>
      <c r="B29" s="246" t="s">
        <v>213</v>
      </c>
      <c r="C29" s="248">
        <f>'B8 Incidences '!$H120</f>
        <v>1.0106512299068853</v>
      </c>
      <c r="D29" s="353">
        <f>'B8 Incidences '!$N120</f>
        <v>0.64026126993952592</v>
      </c>
      <c r="E29" s="249"/>
      <c r="F29" s="357">
        <f t="shared" si="0"/>
        <v>0.82545624992320565</v>
      </c>
    </row>
    <row r="30" spans="1:9" s="240" customFormat="1" x14ac:dyDescent="0.3">
      <c r="A30" s="245">
        <v>2174</v>
      </c>
      <c r="B30" s="246" t="s">
        <v>148</v>
      </c>
      <c r="C30" s="248">
        <f>'B8 Incidences '!$H85</f>
        <v>0.64516130428919494</v>
      </c>
      <c r="D30" s="353">
        <f>'B8 Incidences '!$N85</f>
        <v>1.006487832933193</v>
      </c>
      <c r="E30" s="249"/>
      <c r="F30" s="357">
        <f t="shared" si="0"/>
        <v>0.82582456861119402</v>
      </c>
    </row>
    <row r="31" spans="1:9" s="240" customFormat="1" x14ac:dyDescent="0.3">
      <c r="A31" s="250">
        <v>2163</v>
      </c>
      <c r="B31" s="251" t="s">
        <v>387</v>
      </c>
      <c r="C31" s="252">
        <f>'B8 Incidences '!$H81</f>
        <v>0.97025736760240222</v>
      </c>
      <c r="D31" s="353">
        <f>'B8 Incidences '!$N81</f>
        <v>0.71609640029715493</v>
      </c>
      <c r="E31" s="253"/>
      <c r="F31" s="357">
        <f t="shared" si="0"/>
        <v>0.84317688394977863</v>
      </c>
    </row>
    <row r="32" spans="1:9" s="240" customFormat="1" x14ac:dyDescent="0.3">
      <c r="A32" s="245">
        <v>2293</v>
      </c>
      <c r="B32" s="246" t="s">
        <v>260</v>
      </c>
      <c r="C32" s="248">
        <f>'B8 Incidences '!$H145</f>
        <v>0.8960714879772198</v>
      </c>
      <c r="D32" s="353">
        <f>'B8 Incidences '!$N145</f>
        <v>0.80158466619882052</v>
      </c>
      <c r="E32" s="249"/>
      <c r="F32" s="357">
        <f t="shared" si="0"/>
        <v>0.84882807708802011</v>
      </c>
    </row>
    <row r="33" spans="1:6" s="240" customFormat="1" x14ac:dyDescent="0.3">
      <c r="A33" s="245">
        <v>2024</v>
      </c>
      <c r="B33" s="246" t="s">
        <v>24</v>
      </c>
      <c r="C33" s="248">
        <f>'B8 Incidences '!$H19</f>
        <v>0.78183336830048611</v>
      </c>
      <c r="D33" s="353">
        <f>'B8 Incidences '!$N19</f>
        <v>0.94149477801303372</v>
      </c>
      <c r="E33" s="249"/>
      <c r="F33" s="357">
        <f t="shared" si="0"/>
        <v>0.86166407315675997</v>
      </c>
    </row>
    <row r="34" spans="1:6" s="240" customFormat="1" x14ac:dyDescent="0.3">
      <c r="A34" s="245">
        <v>2089</v>
      </c>
      <c r="B34" s="246" t="s">
        <v>74</v>
      </c>
      <c r="C34" s="248">
        <f>'B8 Incidences '!$H47</f>
        <v>0.39392595302573097</v>
      </c>
      <c r="D34" s="353">
        <f>'B8 Incidences '!$N47</f>
        <v>1.3308671156557454</v>
      </c>
      <c r="E34" s="249"/>
      <c r="F34" s="357">
        <f t="shared" si="0"/>
        <v>0.86239653434073826</v>
      </c>
    </row>
    <row r="35" spans="1:6" s="240" customFormat="1" x14ac:dyDescent="0.3">
      <c r="A35" s="245">
        <v>2183</v>
      </c>
      <c r="B35" s="246" t="s">
        <v>156</v>
      </c>
      <c r="C35" s="248">
        <f>'B8 Incidences '!$H89</f>
        <v>0.71970841024437948</v>
      </c>
      <c r="D35" s="353">
        <f>'B8 Incidences '!$N89</f>
        <v>1.032028487914517</v>
      </c>
      <c r="E35" s="249"/>
      <c r="F35" s="357">
        <f t="shared" si="0"/>
        <v>0.87586844907944816</v>
      </c>
    </row>
    <row r="36" spans="1:6" s="240" customFormat="1" x14ac:dyDescent="0.3">
      <c r="A36" s="245">
        <v>2300</v>
      </c>
      <c r="B36" s="246" t="s">
        <v>272</v>
      </c>
      <c r="C36" s="248">
        <f>'B8 Incidences '!$H151</f>
        <v>1.1433212591645472</v>
      </c>
      <c r="D36" s="353">
        <f>'B8 Incidences '!$N151</f>
        <v>0.65051130388830525</v>
      </c>
      <c r="E36" s="249"/>
      <c r="F36" s="357">
        <f t="shared" si="0"/>
        <v>0.89691628152642622</v>
      </c>
    </row>
    <row r="37" spans="1:6" s="240" customFormat="1" x14ac:dyDescent="0.3">
      <c r="A37" s="245">
        <v>2049</v>
      </c>
      <c r="B37" s="246" t="s">
        <v>55</v>
      </c>
      <c r="C37" s="248">
        <f>'B8 Incidences '!$H34</f>
        <v>1.2303174175144898</v>
      </c>
      <c r="D37" s="353">
        <f>'B8 Incidences '!$N34</f>
        <v>0.58677322147725575</v>
      </c>
      <c r="E37" s="249"/>
      <c r="F37" s="357">
        <f t="shared" si="0"/>
        <v>0.90854531949587281</v>
      </c>
    </row>
    <row r="38" spans="1:6" s="240" customFormat="1" x14ac:dyDescent="0.3">
      <c r="A38" s="245">
        <v>2171</v>
      </c>
      <c r="B38" s="246" t="s">
        <v>142</v>
      </c>
      <c r="C38" s="248">
        <f>'B8 Incidences '!$H82</f>
        <v>0.96533946462206111</v>
      </c>
      <c r="D38" s="353">
        <f>'B8 Incidences '!$N82</f>
        <v>0.85879691354382748</v>
      </c>
      <c r="E38" s="249"/>
      <c r="F38" s="357">
        <f t="shared" si="0"/>
        <v>0.91206818908294429</v>
      </c>
    </row>
    <row r="39" spans="1:6" s="240" customFormat="1" x14ac:dyDescent="0.3">
      <c r="A39" s="245">
        <v>2061</v>
      </c>
      <c r="B39" s="246" t="s">
        <v>57</v>
      </c>
      <c r="C39" s="248">
        <f>'B8 Incidences '!$H38</f>
        <v>0.46823518794892172</v>
      </c>
      <c r="D39" s="353">
        <f>'B8 Incidences '!$N38</f>
        <v>1.3766918779174027</v>
      </c>
      <c r="E39" s="249"/>
      <c r="F39" s="357">
        <f t="shared" si="0"/>
        <v>0.92246353293316219</v>
      </c>
    </row>
    <row r="40" spans="1:6" s="240" customFormat="1" x14ac:dyDescent="0.3">
      <c r="A40" s="245">
        <v>2004</v>
      </c>
      <c r="B40" s="246" t="s">
        <v>1</v>
      </c>
      <c r="C40" s="248">
        <f>'B8 Incidences '!$H8</f>
        <v>0.67052855120330745</v>
      </c>
      <c r="D40" s="353">
        <f>'B8 Incidences '!$N8</f>
        <v>1.1941067378932884</v>
      </c>
      <c r="E40" s="237"/>
      <c r="F40" s="357">
        <f t="shared" ref="F40:F71" si="1">(C40+D40)/2</f>
        <v>0.93231764454829791</v>
      </c>
    </row>
    <row r="41" spans="1:6" s="240" customFormat="1" x14ac:dyDescent="0.3">
      <c r="A41" s="245">
        <v>2276</v>
      </c>
      <c r="B41" s="246" t="s">
        <v>309</v>
      </c>
      <c r="C41" s="248">
        <f>'B8 Incidences '!$H136</f>
        <v>0.88365796118941475</v>
      </c>
      <c r="D41" s="353">
        <f>'B8 Incidences '!$N136</f>
        <v>0.98259565915387415</v>
      </c>
      <c r="E41" s="249"/>
      <c r="F41" s="357">
        <f t="shared" si="1"/>
        <v>0.93312681017164445</v>
      </c>
    </row>
    <row r="42" spans="1:6" s="240" customFormat="1" x14ac:dyDescent="0.3">
      <c r="A42" s="245">
        <v>2153</v>
      </c>
      <c r="B42" s="246" t="s">
        <v>136</v>
      </c>
      <c r="C42" s="248">
        <f>'B8 Incidences '!$H77</f>
        <v>1.1370790750235231</v>
      </c>
      <c r="D42" s="353">
        <f>'B8 Incidences '!$N77</f>
        <v>0.74369691468028509</v>
      </c>
      <c r="E42" s="249"/>
      <c r="F42" s="357">
        <f t="shared" si="1"/>
        <v>0.94038799485190405</v>
      </c>
    </row>
    <row r="43" spans="1:6" s="240" customFormat="1" x14ac:dyDescent="0.3">
      <c r="A43" s="245">
        <v>2325</v>
      </c>
      <c r="B43" s="246" t="s">
        <v>296</v>
      </c>
      <c r="C43" s="248">
        <f>'B8 Incidences '!$H164</f>
        <v>0.84615365855290303</v>
      </c>
      <c r="D43" s="353">
        <f>'B8 Incidences '!$N164</f>
        <v>1.0440822696007861</v>
      </c>
      <c r="E43" s="249"/>
      <c r="F43" s="357">
        <f t="shared" si="1"/>
        <v>0.94511796407684456</v>
      </c>
    </row>
    <row r="44" spans="1:6" s="240" customFormat="1" x14ac:dyDescent="0.3">
      <c r="A44" s="245">
        <v>2137</v>
      </c>
      <c r="B44" s="246" t="s">
        <v>118</v>
      </c>
      <c r="C44" s="248">
        <f>'B8 Incidences '!$H68</f>
        <v>0.70439042226989257</v>
      </c>
      <c r="D44" s="353">
        <f>'B8 Incidences '!$N68</f>
        <v>1.1897365414508725</v>
      </c>
      <c r="E44" s="249"/>
      <c r="F44" s="357">
        <f t="shared" si="1"/>
        <v>0.94706348186038247</v>
      </c>
    </row>
    <row r="45" spans="1:6" s="240" customFormat="1" x14ac:dyDescent="0.3">
      <c r="A45" s="245">
        <v>2280</v>
      </c>
      <c r="B45" s="246" t="s">
        <v>251</v>
      </c>
      <c r="C45" s="248">
        <f>'B8 Incidences '!$H140</f>
        <v>0.80242191403890273</v>
      </c>
      <c r="D45" s="353">
        <f>'B8 Incidences '!$N140</f>
        <v>1.1023777962411834</v>
      </c>
      <c r="E45" s="249"/>
      <c r="F45" s="357">
        <f t="shared" si="1"/>
        <v>0.95239985514004299</v>
      </c>
    </row>
    <row r="46" spans="1:6" s="240" customFormat="1" x14ac:dyDescent="0.3">
      <c r="A46" s="245">
        <v>2129</v>
      </c>
      <c r="B46" s="246" t="s">
        <v>107</v>
      </c>
      <c r="C46" s="248">
        <f>'B8 Incidences '!$H63</f>
        <v>0.82977295606140289</v>
      </c>
      <c r="D46" s="353">
        <f>'B8 Incidences '!$N63</f>
        <v>1.0840361297121659</v>
      </c>
      <c r="E46" s="249"/>
      <c r="F46" s="357">
        <f t="shared" si="1"/>
        <v>0.95690454288678439</v>
      </c>
    </row>
    <row r="47" spans="1:6" s="240" customFormat="1" x14ac:dyDescent="0.3">
      <c r="A47" s="245">
        <v>2336</v>
      </c>
      <c r="B47" s="246" t="s">
        <v>306</v>
      </c>
      <c r="C47" s="248">
        <f>'B8 Incidences '!$H168</f>
        <v>0.7541545576325106</v>
      </c>
      <c r="D47" s="353">
        <f>'B8 Incidences '!$N168</f>
        <v>1.1691954526011883</v>
      </c>
      <c r="E47" s="249"/>
      <c r="F47" s="357">
        <f t="shared" si="1"/>
        <v>0.96167500511684945</v>
      </c>
    </row>
    <row r="48" spans="1:6" s="240" customFormat="1" x14ac:dyDescent="0.3">
      <c r="A48" s="245">
        <v>2228</v>
      </c>
      <c r="B48" s="246" t="s">
        <v>200</v>
      </c>
      <c r="C48" s="248">
        <f>'B8 Incidences '!$H112</f>
        <v>0.94674718823029236</v>
      </c>
      <c r="D48" s="353">
        <f>'B8 Incidences '!$N112</f>
        <v>0.98248792934224149</v>
      </c>
      <c r="E48" s="249"/>
      <c r="F48" s="357">
        <f t="shared" si="1"/>
        <v>0.96461755878626687</v>
      </c>
    </row>
    <row r="49" spans="1:6" s="240" customFormat="1" x14ac:dyDescent="0.3">
      <c r="A49" s="245">
        <v>2134</v>
      </c>
      <c r="B49" s="246" t="s">
        <v>114</v>
      </c>
      <c r="C49" s="248">
        <f>'B8 Incidences '!$H66</f>
        <v>0.9106310189169039</v>
      </c>
      <c r="D49" s="353">
        <f>'B8 Incidences '!$N66</f>
        <v>1.0232809262779721</v>
      </c>
      <c r="E49" s="249"/>
      <c r="F49" s="357">
        <f t="shared" si="1"/>
        <v>0.96695597259743793</v>
      </c>
    </row>
    <row r="50" spans="1:6" s="240" customFormat="1" x14ac:dyDescent="0.3">
      <c r="A50" s="245">
        <v>2143</v>
      </c>
      <c r="B50" s="246" t="s">
        <v>124</v>
      </c>
      <c r="C50" s="248">
        <f>'B8 Incidences '!$H71</f>
        <v>0.64952713024520858</v>
      </c>
      <c r="D50" s="353">
        <f>'B8 Incidences '!$N71</f>
        <v>1.2904389460398382</v>
      </c>
      <c r="E50" s="249"/>
      <c r="F50" s="357">
        <f t="shared" si="1"/>
        <v>0.9699830381425234</v>
      </c>
    </row>
    <row r="51" spans="1:6" s="261" customFormat="1" x14ac:dyDescent="0.3">
      <c r="A51" s="245">
        <v>2122</v>
      </c>
      <c r="B51" s="246" t="s">
        <v>93</v>
      </c>
      <c r="C51" s="248">
        <f>'B8 Incidences '!$H58</f>
        <v>0.68535797373273144</v>
      </c>
      <c r="D51" s="353">
        <f>'B8 Incidences '!$N58</f>
        <v>1.2686592166149282</v>
      </c>
      <c r="E51" s="249"/>
      <c r="F51" s="357">
        <f t="shared" si="1"/>
        <v>0.97700859517382987</v>
      </c>
    </row>
    <row r="52" spans="1:6" s="240" customFormat="1" x14ac:dyDescent="0.3">
      <c r="A52" s="245">
        <v>2162</v>
      </c>
      <c r="B52" s="246" t="s">
        <v>112</v>
      </c>
      <c r="C52" s="248">
        <f>'B8 Incidences '!$H80</f>
        <v>1.1500851089015001</v>
      </c>
      <c r="D52" s="353">
        <f>'B8 Incidences '!$N80</f>
        <v>0.84089133653270509</v>
      </c>
      <c r="E52" s="249"/>
      <c r="F52" s="357">
        <f t="shared" si="1"/>
        <v>0.99548822271710258</v>
      </c>
    </row>
    <row r="53" spans="1:6" s="240" customFormat="1" x14ac:dyDescent="0.3">
      <c r="A53" s="245">
        <v>2243</v>
      </c>
      <c r="B53" s="246" t="s">
        <v>382</v>
      </c>
      <c r="C53" s="248">
        <f>'B8 Incidences '!$H118</f>
        <v>1.0067003091703861</v>
      </c>
      <c r="D53" s="353">
        <f>'B8 Incidences '!$N118</f>
        <v>1.0266944686585753</v>
      </c>
      <c r="E53" s="249"/>
      <c r="F53" s="357">
        <f t="shared" si="1"/>
        <v>1.0166973889144808</v>
      </c>
    </row>
    <row r="54" spans="1:6" s="240" customFormat="1" x14ac:dyDescent="0.3">
      <c r="A54" s="245">
        <v>2302</v>
      </c>
      <c r="B54" s="246" t="s">
        <v>276</v>
      </c>
      <c r="C54" s="248">
        <f>'B8 Incidences '!$H153</f>
        <v>1.3016135078445492</v>
      </c>
      <c r="D54" s="353">
        <f>'B8 Incidences '!$N153</f>
        <v>0.752923347244703</v>
      </c>
      <c r="E54" s="249"/>
      <c r="F54" s="357">
        <f t="shared" si="1"/>
        <v>1.0272684275446262</v>
      </c>
    </row>
    <row r="55" spans="1:6" s="240" customFormat="1" x14ac:dyDescent="0.3">
      <c r="A55" s="245">
        <v>2299</v>
      </c>
      <c r="B55" s="246" t="s">
        <v>270</v>
      </c>
      <c r="C55" s="248">
        <f>'B8 Incidences '!$H150</f>
        <v>1.3279172621966966</v>
      </c>
      <c r="D55" s="353">
        <f>'B8 Incidences '!$N150</f>
        <v>0.73107265377336761</v>
      </c>
      <c r="E55" s="249"/>
      <c r="F55" s="357">
        <f t="shared" si="1"/>
        <v>1.0294949579850321</v>
      </c>
    </row>
    <row r="56" spans="1:6" s="240" customFormat="1" x14ac:dyDescent="0.3">
      <c r="A56" s="245">
        <v>2148</v>
      </c>
      <c r="B56" s="246" t="s">
        <v>130</v>
      </c>
      <c r="C56" s="248">
        <f>'B8 Incidences '!$H74</f>
        <v>0.97297683106481792</v>
      </c>
      <c r="D56" s="353">
        <f>'B8 Incidences '!$N74</f>
        <v>1.0989183957379329</v>
      </c>
      <c r="E56" s="249"/>
      <c r="F56" s="357">
        <f t="shared" si="1"/>
        <v>1.0359476134013754</v>
      </c>
    </row>
    <row r="57" spans="1:6" s="240" customFormat="1" x14ac:dyDescent="0.3">
      <c r="A57" s="245">
        <v>2123</v>
      </c>
      <c r="B57" s="246" t="s">
        <v>95</v>
      </c>
      <c r="C57" s="248">
        <f>'B8 Incidences '!$H59</f>
        <v>0.94900757657998203</v>
      </c>
      <c r="D57" s="353">
        <f>'B8 Incidences '!$N59</f>
        <v>1.1269971921510031</v>
      </c>
      <c r="E57" s="249"/>
      <c r="F57" s="357">
        <f t="shared" si="1"/>
        <v>1.0380023843654926</v>
      </c>
    </row>
    <row r="58" spans="1:6" s="240" customFormat="1" x14ac:dyDescent="0.3">
      <c r="A58" s="245">
        <v>2305</v>
      </c>
      <c r="B58" s="246" t="s">
        <v>282</v>
      </c>
      <c r="C58" s="248">
        <f>'B8 Incidences '!$H156</f>
        <v>1.1002102193936323</v>
      </c>
      <c r="D58" s="353">
        <f>'B8 Incidences '!$N156</f>
        <v>0.9948066601637926</v>
      </c>
      <c r="E58" s="249"/>
      <c r="F58" s="357">
        <f t="shared" si="1"/>
        <v>1.0475084397787124</v>
      </c>
    </row>
    <row r="59" spans="1:6" s="240" customFormat="1" x14ac:dyDescent="0.3">
      <c r="A59" s="245">
        <v>2211</v>
      </c>
      <c r="B59" s="246" t="s">
        <v>182</v>
      </c>
      <c r="C59" s="248">
        <f>'B8 Incidences '!$H102</f>
        <v>0.94717536100631661</v>
      </c>
      <c r="D59" s="353">
        <f>'B8 Incidences '!$N102</f>
        <v>1.1611922533252546</v>
      </c>
      <c r="E59" s="249"/>
      <c r="F59" s="357">
        <f t="shared" si="1"/>
        <v>1.0541838071657856</v>
      </c>
    </row>
    <row r="60" spans="1:6" s="240" customFormat="1" x14ac:dyDescent="0.3">
      <c r="A60" s="245">
        <v>2283</v>
      </c>
      <c r="B60" s="246" t="s">
        <v>255</v>
      </c>
      <c r="C60" s="248">
        <f>'B8 Incidences '!$H142</f>
        <v>0.59352222432766333</v>
      </c>
      <c r="D60" s="353">
        <f>'B8 Incidences '!$N142</f>
        <v>1.5346046429223303</v>
      </c>
      <c r="E60" s="249"/>
      <c r="F60" s="357">
        <f t="shared" si="1"/>
        <v>1.0640634336249968</v>
      </c>
    </row>
    <row r="61" spans="1:6" s="240" customFormat="1" x14ac:dyDescent="0.3">
      <c r="A61" s="245">
        <v>2066</v>
      </c>
      <c r="B61" s="246" t="s">
        <v>60</v>
      </c>
      <c r="C61" s="248">
        <f>'B8 Incidences '!$H40</f>
        <v>0.89119165840724679</v>
      </c>
      <c r="D61" s="353">
        <f>'B8 Incidences '!$N40</f>
        <v>1.2478283636010996</v>
      </c>
      <c r="E61" s="249"/>
      <c r="F61" s="357">
        <f t="shared" si="1"/>
        <v>1.0695100110041733</v>
      </c>
    </row>
    <row r="62" spans="1:6" s="240" customFormat="1" x14ac:dyDescent="0.3">
      <c r="A62" s="245">
        <v>2185</v>
      </c>
      <c r="B62" s="246" t="s">
        <v>160</v>
      </c>
      <c r="C62" s="248">
        <f>'B8 Incidences '!$H91</f>
        <v>0.7335129082083689</v>
      </c>
      <c r="D62" s="353">
        <f>'B8 Incidences '!$N91</f>
        <v>1.4318557431788606</v>
      </c>
      <c r="E62" s="249"/>
      <c r="F62" s="357">
        <f t="shared" si="1"/>
        <v>1.0826843256936147</v>
      </c>
    </row>
    <row r="63" spans="1:6" s="240" customFormat="1" x14ac:dyDescent="0.3">
      <c r="A63" s="245">
        <v>2115</v>
      </c>
      <c r="B63" s="246" t="s">
        <v>81</v>
      </c>
      <c r="C63" s="248">
        <f>'B8 Incidences '!$H55</f>
        <v>0.97101373098298238</v>
      </c>
      <c r="D63" s="353">
        <f>'B8 Incidences '!$N55</f>
        <v>1.2024927447858973</v>
      </c>
      <c r="E63" s="249"/>
      <c r="F63" s="357">
        <f t="shared" si="1"/>
        <v>1.0867532378844398</v>
      </c>
    </row>
    <row r="64" spans="1:6" s="240" customFormat="1" x14ac:dyDescent="0.3">
      <c r="A64" s="245">
        <v>2005</v>
      </c>
      <c r="B64" s="246" t="s">
        <v>3</v>
      </c>
      <c r="C64" s="248">
        <f>'B8 Incidences '!$H9</f>
        <v>1.0534186140175035</v>
      </c>
      <c r="D64" s="353">
        <f>'B8 Incidences '!$N9</f>
        <v>1.1213276545307034</v>
      </c>
      <c r="E64" s="237"/>
      <c r="F64" s="357">
        <f t="shared" si="1"/>
        <v>1.0873731342741033</v>
      </c>
    </row>
    <row r="65" spans="1:6" s="240" customFormat="1" x14ac:dyDescent="0.3">
      <c r="A65" s="245">
        <v>2250</v>
      </c>
      <c r="B65" s="246" t="s">
        <v>211</v>
      </c>
      <c r="C65" s="248">
        <f>'B8 Incidences '!$H119</f>
        <v>0.93761687635012148</v>
      </c>
      <c r="D65" s="353">
        <f>'B8 Incidences '!$N119</f>
        <v>1.2555317856462254</v>
      </c>
      <c r="E65" s="249"/>
      <c r="F65" s="357">
        <f t="shared" si="1"/>
        <v>1.0965743309981735</v>
      </c>
    </row>
    <row r="66" spans="1:6" s="240" customFormat="1" x14ac:dyDescent="0.3">
      <c r="A66" s="245">
        <v>2097</v>
      </c>
      <c r="B66" s="246" t="s">
        <v>78</v>
      </c>
      <c r="C66" s="248">
        <f>'B8 Incidences '!$H49</f>
        <v>1.1031595971068395</v>
      </c>
      <c r="D66" s="353">
        <f>'B8 Incidences '!$N49</f>
        <v>1.122846042519267</v>
      </c>
      <c r="E66" s="249"/>
      <c r="F66" s="357">
        <f t="shared" si="1"/>
        <v>1.1130028198130533</v>
      </c>
    </row>
    <row r="67" spans="1:6" s="240" customFormat="1" x14ac:dyDescent="0.3">
      <c r="A67" s="245">
        <v>2225</v>
      </c>
      <c r="B67" s="246" t="s">
        <v>196</v>
      </c>
      <c r="C67" s="248">
        <f>'B8 Incidences '!$H110</f>
        <v>1.1854794335004122</v>
      </c>
      <c r="D67" s="353">
        <f>'B8 Incidences '!$N110</f>
        <v>1.0569903117376902</v>
      </c>
      <c r="E67" s="249"/>
      <c r="F67" s="357">
        <f t="shared" si="1"/>
        <v>1.1212348726190511</v>
      </c>
    </row>
    <row r="68" spans="1:6" s="240" customFormat="1" x14ac:dyDescent="0.3">
      <c r="A68" s="245">
        <v>2050</v>
      </c>
      <c r="B68" s="246" t="s">
        <v>31</v>
      </c>
      <c r="C68" s="248">
        <f>'B8 Incidences '!$H35</f>
        <v>1.3525823289696153</v>
      </c>
      <c r="D68" s="353">
        <f>'B8 Incidences '!$N35</f>
        <v>0.89381701056011531</v>
      </c>
      <c r="E68" s="249"/>
      <c r="F68" s="357">
        <f t="shared" si="1"/>
        <v>1.1231996697648654</v>
      </c>
    </row>
    <row r="69" spans="1:6" s="240" customFormat="1" x14ac:dyDescent="0.3">
      <c r="A69" s="245">
        <v>2306</v>
      </c>
      <c r="B69" s="246" t="s">
        <v>284</v>
      </c>
      <c r="C69" s="248">
        <f>'B8 Incidences '!$H157</f>
        <v>1.3628098552135548</v>
      </c>
      <c r="D69" s="353">
        <f>'B8 Incidences '!$N157</f>
        <v>0.90213925693933639</v>
      </c>
      <c r="E69" s="249"/>
      <c r="F69" s="357">
        <f t="shared" si="1"/>
        <v>1.1324745560764455</v>
      </c>
    </row>
    <row r="70" spans="1:6" s="240" customFormat="1" x14ac:dyDescent="0.3">
      <c r="A70" s="245">
        <v>2279</v>
      </c>
      <c r="B70" s="246" t="s">
        <v>249</v>
      </c>
      <c r="C70" s="248">
        <f>'B8 Incidences '!$H139</f>
        <v>0.98332850574258202</v>
      </c>
      <c r="D70" s="353">
        <f>'B8 Incidences '!$N139</f>
        <v>1.2955331230513283</v>
      </c>
      <c r="E70" s="249"/>
      <c r="F70" s="357">
        <f t="shared" si="1"/>
        <v>1.1394308143969551</v>
      </c>
    </row>
    <row r="71" spans="1:6" s="240" customFormat="1" x14ac:dyDescent="0.3">
      <c r="A71" s="245">
        <v>2234</v>
      </c>
      <c r="B71" s="246" t="s">
        <v>206</v>
      </c>
      <c r="C71" s="248">
        <f>'B8 Incidences '!$H116</f>
        <v>0.81780800419393429</v>
      </c>
      <c r="D71" s="353">
        <f>'B8 Incidences '!$N116</f>
        <v>1.4662695535198369</v>
      </c>
      <c r="E71" s="249"/>
      <c r="F71" s="357">
        <f t="shared" si="1"/>
        <v>1.1420387788568855</v>
      </c>
    </row>
    <row r="72" spans="1:6" s="240" customFormat="1" x14ac:dyDescent="0.3">
      <c r="A72" s="245">
        <v>2271</v>
      </c>
      <c r="B72" s="246" t="s">
        <v>384</v>
      </c>
      <c r="C72" s="248">
        <f>'B8 Incidences '!$H132</f>
        <v>1.1108714452536295</v>
      </c>
      <c r="D72" s="353">
        <f>'B8 Incidences '!$N132</f>
        <v>1.2039563873520305</v>
      </c>
      <c r="E72" s="249"/>
      <c r="F72" s="357">
        <f t="shared" ref="F72:F103" si="2">(C72+D72)/2</f>
        <v>1.1574139163028301</v>
      </c>
    </row>
    <row r="73" spans="1:6" s="240" customFormat="1" x14ac:dyDescent="0.3">
      <c r="A73" s="245">
        <v>2125</v>
      </c>
      <c r="B73" s="246" t="s">
        <v>99</v>
      </c>
      <c r="C73" s="248">
        <f>'B8 Incidences '!$H61</f>
        <v>1.0903192093684364</v>
      </c>
      <c r="D73" s="353">
        <f>'B8 Incidences '!$N61</f>
        <v>1.2300311894353173</v>
      </c>
      <c r="E73" s="249"/>
      <c r="F73" s="357">
        <f t="shared" si="2"/>
        <v>1.160175199401877</v>
      </c>
    </row>
    <row r="74" spans="1:6" s="240" customFormat="1" x14ac:dyDescent="0.3">
      <c r="A74" s="245">
        <v>2041</v>
      </c>
      <c r="B74" s="246" t="s">
        <v>45</v>
      </c>
      <c r="C74" s="248">
        <f>'B8 Incidences '!$H29</f>
        <v>1.2665609806708662</v>
      </c>
      <c r="D74" s="353">
        <f>'B8 Incidences '!$N29</f>
        <v>1.0700599359574074</v>
      </c>
      <c r="E74" s="249"/>
      <c r="F74" s="357">
        <f t="shared" si="2"/>
        <v>1.1683104583141368</v>
      </c>
    </row>
    <row r="75" spans="1:6" s="240" customFormat="1" x14ac:dyDescent="0.3">
      <c r="A75" s="245">
        <v>2277</v>
      </c>
      <c r="B75" s="246" t="s">
        <v>245</v>
      </c>
      <c r="C75" s="248">
        <f>'B8 Incidences '!$H137</f>
        <v>1.6447816565369735</v>
      </c>
      <c r="D75" s="353">
        <f>'B8 Incidences '!$N137</f>
        <v>0.69801884062558706</v>
      </c>
      <c r="E75" s="249"/>
      <c r="F75" s="357">
        <f t="shared" si="2"/>
        <v>1.1714002485812802</v>
      </c>
    </row>
    <row r="76" spans="1:6" s="240" customFormat="1" x14ac:dyDescent="0.3">
      <c r="A76" s="250">
        <v>2275</v>
      </c>
      <c r="B76" s="251" t="s">
        <v>242</v>
      </c>
      <c r="C76" s="252">
        <f>'B8 Incidences '!$H135</f>
        <v>1.0670660196701371</v>
      </c>
      <c r="D76" s="353">
        <f>'B8 Incidences '!$N135</f>
        <v>1.2763265837380209</v>
      </c>
      <c r="E76" s="253"/>
      <c r="F76" s="357">
        <f t="shared" si="2"/>
        <v>1.1716963017040789</v>
      </c>
    </row>
    <row r="77" spans="1:6" s="240" customFormat="1" x14ac:dyDescent="0.3">
      <c r="A77" s="245">
        <v>2131</v>
      </c>
      <c r="B77" s="246" t="s">
        <v>111</v>
      </c>
      <c r="C77" s="248">
        <f>'B8 Incidences '!$H65</f>
        <v>0.74361720560555444</v>
      </c>
      <c r="D77" s="353">
        <f>'B8 Incidences '!$N65</f>
        <v>1.6043997191532735</v>
      </c>
      <c r="E77" s="249"/>
      <c r="F77" s="357">
        <f t="shared" si="2"/>
        <v>1.174008462379414</v>
      </c>
    </row>
    <row r="78" spans="1:6" s="240" customFormat="1" x14ac:dyDescent="0.3">
      <c r="A78" s="245">
        <v>2307</v>
      </c>
      <c r="B78" s="246" t="s">
        <v>286</v>
      </c>
      <c r="C78" s="248">
        <f>'B8 Incidences '!$H158</f>
        <v>1.285175734154254</v>
      </c>
      <c r="D78" s="353">
        <f>'B8 Incidences '!$N158</f>
        <v>1.0632844956229202</v>
      </c>
      <c r="E78" s="249"/>
      <c r="F78" s="357">
        <f t="shared" si="2"/>
        <v>1.1742301148885872</v>
      </c>
    </row>
    <row r="79" spans="1:6" s="240" customFormat="1" x14ac:dyDescent="0.3">
      <c r="A79" s="245">
        <v>2291</v>
      </c>
      <c r="B79" s="246" t="s">
        <v>385</v>
      </c>
      <c r="C79" s="248">
        <f>'B8 Incidences '!$H143</f>
        <v>1.4647415854054047</v>
      </c>
      <c r="D79" s="353">
        <f>'B8 Incidences '!$N143</f>
        <v>0.89708734782718569</v>
      </c>
      <c r="E79" s="249"/>
      <c r="F79" s="357">
        <f t="shared" si="2"/>
        <v>1.1809144666162952</v>
      </c>
    </row>
    <row r="80" spans="1:6" s="240" customFormat="1" x14ac:dyDescent="0.3">
      <c r="A80" s="245">
        <v>2135</v>
      </c>
      <c r="B80" s="246" t="s">
        <v>116</v>
      </c>
      <c r="C80" s="248">
        <f>'B8 Incidences '!$H67</f>
        <v>1.1154596592425656</v>
      </c>
      <c r="D80" s="353">
        <f>'B8 Incidences '!$N67</f>
        <v>1.2715647460454034</v>
      </c>
      <c r="E80" s="249"/>
      <c r="F80" s="357">
        <f t="shared" si="2"/>
        <v>1.1935122026439844</v>
      </c>
    </row>
    <row r="81" spans="1:6" s="261" customFormat="1" x14ac:dyDescent="0.3">
      <c r="A81" s="245">
        <v>2011</v>
      </c>
      <c r="B81" s="246" t="s">
        <v>10</v>
      </c>
      <c r="C81" s="248">
        <f>'B8 Incidences '!$H13</f>
        <v>1.0066689071481176</v>
      </c>
      <c r="D81" s="353">
        <f>'B8 Incidences '!$N13</f>
        <v>1.3968367421680346</v>
      </c>
      <c r="E81" s="249"/>
      <c r="F81" s="357">
        <f t="shared" si="2"/>
        <v>1.201752824658076</v>
      </c>
    </row>
    <row r="82" spans="1:6" s="240" customFormat="1" x14ac:dyDescent="0.3">
      <c r="A82" s="245">
        <v>2206</v>
      </c>
      <c r="B82" s="246" t="s">
        <v>178</v>
      </c>
      <c r="C82" s="248">
        <f>'B8 Incidences '!$H100</f>
        <v>1.2681255072759676</v>
      </c>
      <c r="D82" s="353">
        <f>'B8 Incidences '!$N100</f>
        <v>1.1404791856017786</v>
      </c>
      <c r="E82" s="249"/>
      <c r="F82" s="357">
        <f t="shared" si="2"/>
        <v>1.2043023464388731</v>
      </c>
    </row>
    <row r="83" spans="1:6" s="240" customFormat="1" x14ac:dyDescent="0.3">
      <c r="A83" s="245">
        <v>2292</v>
      </c>
      <c r="B83" s="246" t="s">
        <v>258</v>
      </c>
      <c r="C83" s="248">
        <f>'B8 Incidences '!$H144</f>
        <v>1.2527293674191335</v>
      </c>
      <c r="D83" s="353">
        <f>'B8 Incidences '!$N144</f>
        <v>1.1568854596682276</v>
      </c>
      <c r="E83" s="249"/>
      <c r="F83" s="357">
        <f t="shared" si="2"/>
        <v>1.2048074135436806</v>
      </c>
    </row>
    <row r="84" spans="1:6" s="240" customFormat="1" x14ac:dyDescent="0.3">
      <c r="A84" s="245">
        <v>2233</v>
      </c>
      <c r="B84" s="246" t="s">
        <v>205</v>
      </c>
      <c r="C84" s="248">
        <f>'B8 Incidences '!$H115</f>
        <v>0.96138928887095176</v>
      </c>
      <c r="D84" s="353">
        <f>'B8 Incidences '!$N115</f>
        <v>1.456318677787078</v>
      </c>
      <c r="E84" s="249"/>
      <c r="F84" s="357">
        <f t="shared" si="2"/>
        <v>1.2088539833290148</v>
      </c>
    </row>
    <row r="85" spans="1:6" s="240" customFormat="1" x14ac:dyDescent="0.3">
      <c r="A85" s="258">
        <v>2147</v>
      </c>
      <c r="B85" s="259" t="s">
        <v>128</v>
      </c>
      <c r="C85" s="248">
        <f>'B8 Incidences '!$H73</f>
        <v>0.95505987052311636</v>
      </c>
      <c r="D85" s="353">
        <f>'B8 Incidences '!$N73</f>
        <v>1.4928728030650971</v>
      </c>
      <c r="E85" s="260"/>
      <c r="F85" s="357">
        <f t="shared" si="2"/>
        <v>1.2239663367941067</v>
      </c>
    </row>
    <row r="86" spans="1:6" s="240" customFormat="1" x14ac:dyDescent="0.3">
      <c r="A86" s="245">
        <v>2295</v>
      </c>
      <c r="B86" s="246" t="s">
        <v>264</v>
      </c>
      <c r="C86" s="248">
        <f>'B8 Incidences '!$H147</f>
        <v>1.7151874229779966</v>
      </c>
      <c r="D86" s="353">
        <f>'B8 Incidences '!$N147</f>
        <v>0.73779550143822814</v>
      </c>
      <c r="E86" s="249"/>
      <c r="F86" s="357">
        <f t="shared" si="2"/>
        <v>1.2264914622081124</v>
      </c>
    </row>
    <row r="87" spans="1:6" s="240" customFormat="1" x14ac:dyDescent="0.3">
      <c r="A87" s="245">
        <v>2303</v>
      </c>
      <c r="B87" s="246" t="s">
        <v>278</v>
      </c>
      <c r="C87" s="248">
        <f>'B8 Incidences '!$H154</f>
        <v>1.5458052978205614</v>
      </c>
      <c r="D87" s="353">
        <f>'B8 Incidences '!$N154</f>
        <v>0.91565468068088163</v>
      </c>
      <c r="E87" s="249"/>
      <c r="F87" s="357">
        <f t="shared" si="2"/>
        <v>1.2307299892507215</v>
      </c>
    </row>
    <row r="88" spans="1:6" s="240" customFormat="1" x14ac:dyDescent="0.3">
      <c r="A88" s="245">
        <v>2121</v>
      </c>
      <c r="B88" s="246" t="s">
        <v>92</v>
      </c>
      <c r="C88" s="248">
        <f>'B8 Incidences '!$H57</f>
        <v>1.5192500058767215</v>
      </c>
      <c r="D88" s="353">
        <f>'B8 Incidences '!$N57</f>
        <v>0.95023662242020479</v>
      </c>
      <c r="E88" s="249"/>
      <c r="F88" s="357">
        <f t="shared" si="2"/>
        <v>1.2347433141484632</v>
      </c>
    </row>
    <row r="89" spans="1:6" s="240" customFormat="1" x14ac:dyDescent="0.3">
      <c r="A89" s="245">
        <v>2272</v>
      </c>
      <c r="B89" s="246" t="s">
        <v>238</v>
      </c>
      <c r="C89" s="248">
        <f>'B8 Incidences '!$H133</f>
        <v>1.231661624071863</v>
      </c>
      <c r="D89" s="353">
        <f>'B8 Incidences '!$N133</f>
        <v>1.2445780349631421</v>
      </c>
      <c r="E89" s="249"/>
      <c r="F89" s="357">
        <f t="shared" si="2"/>
        <v>1.2381198295175024</v>
      </c>
    </row>
    <row r="90" spans="1:6" s="240" customFormat="1" x14ac:dyDescent="0.3">
      <c r="A90" s="245">
        <v>2222</v>
      </c>
      <c r="B90" s="246" t="s">
        <v>193</v>
      </c>
      <c r="C90" s="248">
        <f>'B8 Incidences '!$H108</f>
        <v>1.1039904905016695</v>
      </c>
      <c r="D90" s="353">
        <f>'B8 Incidences '!$N108</f>
        <v>1.3728274652671622</v>
      </c>
      <c r="E90" s="249"/>
      <c r="F90" s="357">
        <f t="shared" si="2"/>
        <v>1.2384089778844158</v>
      </c>
    </row>
    <row r="91" spans="1:6" s="240" customFormat="1" x14ac:dyDescent="0.3">
      <c r="A91" s="245">
        <v>2221</v>
      </c>
      <c r="B91" s="246" t="s">
        <v>191</v>
      </c>
      <c r="C91" s="248">
        <f>'B8 Incidences '!$H107</f>
        <v>1.3839878621011494</v>
      </c>
      <c r="D91" s="353">
        <f>'B8 Incidences '!$N107</f>
        <v>1.1093235483665229</v>
      </c>
      <c r="E91" s="249"/>
      <c r="F91" s="357">
        <f t="shared" si="2"/>
        <v>1.2466557052338363</v>
      </c>
    </row>
    <row r="92" spans="1:6" s="240" customFormat="1" x14ac:dyDescent="0.3">
      <c r="A92" s="245">
        <v>2217</v>
      </c>
      <c r="B92" s="246" t="s">
        <v>188</v>
      </c>
      <c r="C92" s="248">
        <f>'B8 Incidences '!$H105</f>
        <v>0.93581710116977557</v>
      </c>
      <c r="D92" s="353">
        <f>'B8 Incidences '!$N105</f>
        <v>1.5657496717386303</v>
      </c>
      <c r="E92" s="249"/>
      <c r="F92" s="357">
        <f t="shared" si="2"/>
        <v>1.2507833864542031</v>
      </c>
    </row>
    <row r="93" spans="1:6" s="240" customFormat="1" x14ac:dyDescent="0.3">
      <c r="A93" s="245">
        <v>2079</v>
      </c>
      <c r="B93" s="246" t="s">
        <v>68</v>
      </c>
      <c r="C93" s="248">
        <f>'B8 Incidences '!$H44</f>
        <v>1.5533697333642353</v>
      </c>
      <c r="D93" s="353">
        <f>'B8 Incidences '!$N44</f>
        <v>0.95335007301423236</v>
      </c>
      <c r="E93" s="249"/>
      <c r="F93" s="357">
        <f t="shared" si="2"/>
        <v>1.2533599031892337</v>
      </c>
    </row>
    <row r="94" spans="1:6" s="240" customFormat="1" x14ac:dyDescent="0.3">
      <c r="A94" s="245">
        <v>2040</v>
      </c>
      <c r="B94" s="246" t="s">
        <v>43</v>
      </c>
      <c r="C94" s="248">
        <f>'B8 Incidences '!$H28</f>
        <v>1.6709187971443415</v>
      </c>
      <c r="D94" s="353">
        <f>'B8 Incidences '!$N28</f>
        <v>0.84141631514890003</v>
      </c>
      <c r="E94" s="249"/>
      <c r="F94" s="357">
        <f t="shared" si="2"/>
        <v>1.2561675561466208</v>
      </c>
    </row>
    <row r="95" spans="1:6" s="240" customFormat="1" x14ac:dyDescent="0.3">
      <c r="A95" s="245">
        <v>2184</v>
      </c>
      <c r="B95" s="246" t="s">
        <v>158</v>
      </c>
      <c r="C95" s="248">
        <f>'B8 Incidences '!$H90</f>
        <v>0.76218968890359784</v>
      </c>
      <c r="D95" s="353">
        <f>'B8 Incidences '!$N90</f>
        <v>1.7526007991482917</v>
      </c>
      <c r="E95" s="249"/>
      <c r="F95" s="357">
        <f t="shared" si="2"/>
        <v>1.2573952440259448</v>
      </c>
    </row>
    <row r="96" spans="1:6" s="240" customFormat="1" x14ac:dyDescent="0.3">
      <c r="A96" s="245">
        <v>2296</v>
      </c>
      <c r="B96" s="246" t="s">
        <v>266</v>
      </c>
      <c r="C96" s="248">
        <f>'B8 Incidences '!$H148</f>
        <v>1.475092158453442</v>
      </c>
      <c r="D96" s="353">
        <f>'B8 Incidences '!$N148</f>
        <v>1.0544534703468045</v>
      </c>
      <c r="E96" s="249"/>
      <c r="F96" s="357">
        <f t="shared" si="2"/>
        <v>1.2647728144001231</v>
      </c>
    </row>
    <row r="97" spans="1:6" s="240" customFormat="1" x14ac:dyDescent="0.3">
      <c r="A97" s="258">
        <v>2309</v>
      </c>
      <c r="B97" s="259" t="s">
        <v>289</v>
      </c>
      <c r="C97" s="248">
        <f>'B8 Incidences '!$H160</f>
        <v>1.4896423242628676</v>
      </c>
      <c r="D97" s="353">
        <f>'B8 Incidences '!$N160</f>
        <v>1.0492442457460893</v>
      </c>
      <c r="E97" s="260"/>
      <c r="F97" s="357">
        <f t="shared" si="2"/>
        <v>1.2694432850044786</v>
      </c>
    </row>
    <row r="98" spans="1:6" s="240" customFormat="1" x14ac:dyDescent="0.3">
      <c r="A98" s="245">
        <v>2294</v>
      </c>
      <c r="B98" s="246" t="s">
        <v>262</v>
      </c>
      <c r="C98" s="248">
        <f>'B8 Incidences '!$H146</f>
        <v>1.3659626491109065</v>
      </c>
      <c r="D98" s="353">
        <f>'B8 Incidences '!$N146</f>
        <v>1.2148308102990764</v>
      </c>
      <c r="E98" s="249"/>
      <c r="F98" s="357">
        <f t="shared" si="2"/>
        <v>1.2903967297049914</v>
      </c>
    </row>
    <row r="99" spans="1:6" s="240" customFormat="1" x14ac:dyDescent="0.3">
      <c r="A99" s="245">
        <v>2262</v>
      </c>
      <c r="B99" s="246" t="s">
        <v>383</v>
      </c>
      <c r="C99" s="248">
        <f>'B8 Incidences '!$H127</f>
        <v>1.3923293595923181</v>
      </c>
      <c r="D99" s="353">
        <f>'B8 Incidences '!$N127</f>
        <v>1.2194589072095106</v>
      </c>
      <c r="E99" s="249"/>
      <c r="F99" s="357">
        <f t="shared" si="2"/>
        <v>1.3058941334009142</v>
      </c>
    </row>
    <row r="100" spans="1:6" s="240" customFormat="1" x14ac:dyDescent="0.3">
      <c r="A100" s="245">
        <v>2173</v>
      </c>
      <c r="B100" s="246" t="s">
        <v>146</v>
      </c>
      <c r="C100" s="248">
        <f>'B8 Incidences '!$H84</f>
        <v>1.269051052377298</v>
      </c>
      <c r="D100" s="353">
        <f>'B8 Incidences '!$N84</f>
        <v>1.3579754284746015</v>
      </c>
      <c r="E100" s="249"/>
      <c r="F100" s="357">
        <f t="shared" si="2"/>
        <v>1.3135132404259497</v>
      </c>
    </row>
    <row r="101" spans="1:6" s="240" customFormat="1" x14ac:dyDescent="0.3">
      <c r="A101" s="245">
        <v>2223</v>
      </c>
      <c r="B101" s="246" t="s">
        <v>194</v>
      </c>
      <c r="C101" s="248">
        <f>'B8 Incidences '!$H109</f>
        <v>1.302391862512692</v>
      </c>
      <c r="D101" s="353">
        <f>'B8 Incidences '!$N109</f>
        <v>1.3679201040262328</v>
      </c>
      <c r="E101" s="249"/>
      <c r="F101" s="357">
        <f t="shared" si="2"/>
        <v>1.3351559832694624</v>
      </c>
    </row>
    <row r="102" spans="1:6" s="240" customFormat="1" x14ac:dyDescent="0.3">
      <c r="A102" s="245">
        <v>2196</v>
      </c>
      <c r="B102" s="246" t="s">
        <v>169</v>
      </c>
      <c r="C102" s="248">
        <f>'B8 Incidences '!$H96</f>
        <v>1.4178231347165411</v>
      </c>
      <c r="D102" s="353">
        <f>'B8 Incidences '!$N96</f>
        <v>1.2577636079339789</v>
      </c>
      <c r="E102" s="249"/>
      <c r="F102" s="357">
        <f t="shared" si="2"/>
        <v>1.3377933713252599</v>
      </c>
    </row>
    <row r="103" spans="1:6" s="240" customFormat="1" x14ac:dyDescent="0.3">
      <c r="A103" s="245">
        <v>2304</v>
      </c>
      <c r="B103" s="246" t="s">
        <v>280</v>
      </c>
      <c r="C103" s="248">
        <f>'B8 Incidences '!$H155</f>
        <v>1.5431391960135361</v>
      </c>
      <c r="D103" s="353">
        <f>'B8 Incidences '!$N155</f>
        <v>1.1331496909706644</v>
      </c>
      <c r="E103" s="249"/>
      <c r="F103" s="357">
        <f t="shared" si="2"/>
        <v>1.3381444434921002</v>
      </c>
    </row>
    <row r="104" spans="1:6" s="240" customFormat="1" x14ac:dyDescent="0.3">
      <c r="A104" s="245">
        <v>2328</v>
      </c>
      <c r="B104" s="246" t="s">
        <v>299</v>
      </c>
      <c r="C104" s="248">
        <f>'B8 Incidences '!$H165</f>
        <v>0.79181128700013537</v>
      </c>
      <c r="D104" s="353">
        <f>'B8 Incidences '!$N165</f>
        <v>1.9100063379594356</v>
      </c>
      <c r="E104" s="249"/>
      <c r="F104" s="357">
        <f t="shared" ref="F104:F135" si="3">(C104+D104)/2</f>
        <v>1.3509088124797854</v>
      </c>
    </row>
    <row r="105" spans="1:6" s="240" customFormat="1" x14ac:dyDescent="0.3">
      <c r="A105" s="245">
        <v>2265</v>
      </c>
      <c r="B105" s="246" t="s">
        <v>230</v>
      </c>
      <c r="C105" s="248">
        <f>'B8 Incidences '!$H129</f>
        <v>1.4242937757016554</v>
      </c>
      <c r="D105" s="353">
        <f>'B8 Incidences '!$N129</f>
        <v>1.2806876706869306</v>
      </c>
      <c r="E105" s="249"/>
      <c r="F105" s="357">
        <f t="shared" si="3"/>
        <v>1.3524907231942929</v>
      </c>
    </row>
    <row r="106" spans="1:6" s="240" customFormat="1" x14ac:dyDescent="0.3">
      <c r="A106" s="245">
        <v>2235</v>
      </c>
      <c r="B106" s="246" t="s">
        <v>176</v>
      </c>
      <c r="C106" s="248">
        <f>'B8 Incidences '!$H117</f>
        <v>1.0485869953432787</v>
      </c>
      <c r="D106" s="353">
        <f>'B8 Incidences '!$N117</f>
        <v>1.6566860375735279</v>
      </c>
      <c r="E106" s="249"/>
      <c r="F106" s="357">
        <f t="shared" si="3"/>
        <v>1.3526365164584033</v>
      </c>
    </row>
    <row r="107" spans="1:6" s="240" customFormat="1" x14ac:dyDescent="0.3">
      <c r="A107" s="245">
        <v>2258</v>
      </c>
      <c r="B107" s="246" t="s">
        <v>219</v>
      </c>
      <c r="C107" s="248">
        <f>'B8 Incidences '!$H123</f>
        <v>1.8210067999733219</v>
      </c>
      <c r="D107" s="353">
        <f>'B8 Incidences '!$N123</f>
        <v>0.90493075486682661</v>
      </c>
      <c r="E107" s="249"/>
      <c r="F107" s="357">
        <f t="shared" si="3"/>
        <v>1.3629687774200743</v>
      </c>
    </row>
    <row r="108" spans="1:6" s="240" customFormat="1" x14ac:dyDescent="0.3">
      <c r="A108" s="245">
        <v>2149</v>
      </c>
      <c r="B108" s="246" t="s">
        <v>132</v>
      </c>
      <c r="C108" s="248">
        <f>'B8 Incidences '!$H75</f>
        <v>1.8393342073996719</v>
      </c>
      <c r="D108" s="353">
        <f>'B8 Incidences '!$N75</f>
        <v>0.89922838276729977</v>
      </c>
      <c r="E108" s="249"/>
      <c r="F108" s="357">
        <f t="shared" si="3"/>
        <v>1.3692812950834858</v>
      </c>
    </row>
    <row r="109" spans="1:6" s="240" customFormat="1" x14ac:dyDescent="0.3">
      <c r="A109" s="245">
        <v>2189</v>
      </c>
      <c r="B109" s="246" t="s">
        <v>164</v>
      </c>
      <c r="C109" s="248">
        <f>'B8 Incidences '!$H93</f>
        <v>1.4521407229206096</v>
      </c>
      <c r="D109" s="353">
        <f>'B8 Incidences '!$N93</f>
        <v>1.3169128023597048</v>
      </c>
      <c r="E109" s="249"/>
      <c r="F109" s="357">
        <f t="shared" si="3"/>
        <v>1.3845267626401572</v>
      </c>
    </row>
    <row r="110" spans="1:6" s="240" customFormat="1" x14ac:dyDescent="0.3">
      <c r="A110" s="245">
        <v>2045</v>
      </c>
      <c r="B110" s="246" t="s">
        <v>51</v>
      </c>
      <c r="C110" s="248">
        <f>'B8 Incidences '!$H32</f>
        <v>0.93620793675742098</v>
      </c>
      <c r="D110" s="353">
        <f>'B8 Incidences '!$N32</f>
        <v>1.8434904823337084</v>
      </c>
      <c r="E110" s="249"/>
      <c r="F110" s="357">
        <f t="shared" si="3"/>
        <v>1.3898492095455648</v>
      </c>
    </row>
    <row r="111" spans="1:6" s="240" customFormat="1" x14ac:dyDescent="0.3">
      <c r="A111" s="245">
        <v>2033</v>
      </c>
      <c r="B111" s="246" t="s">
        <v>33</v>
      </c>
      <c r="C111" s="248">
        <f>'B8 Incidences '!$H23</f>
        <v>0.87151934148671351</v>
      </c>
      <c r="D111" s="353">
        <f>'B8 Incidences '!$N23</f>
        <v>1.9088124033007636</v>
      </c>
      <c r="E111" s="249"/>
      <c r="F111" s="357">
        <f t="shared" si="3"/>
        <v>1.3901658723937387</v>
      </c>
    </row>
    <row r="112" spans="1:6" s="240" customFormat="1" x14ac:dyDescent="0.3">
      <c r="A112" s="258">
        <v>2333</v>
      </c>
      <c r="B112" s="259" t="s">
        <v>302</v>
      </c>
      <c r="C112" s="248">
        <f>'B8 Incidences '!$H166</f>
        <v>1.153781750953307</v>
      </c>
      <c r="D112" s="353">
        <f>'B8 Incidences '!$N166</f>
        <v>1.628017908446469</v>
      </c>
      <c r="E112" s="260"/>
      <c r="F112" s="357">
        <f t="shared" si="3"/>
        <v>1.390899829699888</v>
      </c>
    </row>
    <row r="113" spans="1:6" s="240" customFormat="1" x14ac:dyDescent="0.3">
      <c r="A113" s="245">
        <v>2155</v>
      </c>
      <c r="B113" s="246" t="s">
        <v>138</v>
      </c>
      <c r="C113" s="248">
        <f>'B8 Incidences '!$H78</f>
        <v>1.0889793527679124</v>
      </c>
      <c r="D113" s="353">
        <f>'B8 Incidences '!$N78</f>
        <v>1.6981472362637677</v>
      </c>
      <c r="E113" s="249"/>
      <c r="F113" s="357">
        <f t="shared" si="3"/>
        <v>1.39356329451584</v>
      </c>
    </row>
    <row r="114" spans="1:6" s="240" customFormat="1" x14ac:dyDescent="0.3">
      <c r="A114" s="245">
        <v>2111</v>
      </c>
      <c r="B114" s="246" t="s">
        <v>85</v>
      </c>
      <c r="C114" s="248">
        <f>'B8 Incidences '!$H52</f>
        <v>1.4583056257462785</v>
      </c>
      <c r="D114" s="353">
        <f>'B8 Incidences '!$N52</f>
        <v>1.3333280861426318</v>
      </c>
      <c r="E114" s="249"/>
      <c r="F114" s="357">
        <f t="shared" si="3"/>
        <v>1.3958168559444553</v>
      </c>
    </row>
    <row r="115" spans="1:6" s="240" customFormat="1" x14ac:dyDescent="0.3">
      <c r="A115" s="245">
        <v>2175</v>
      </c>
      <c r="B115" s="246" t="s">
        <v>150</v>
      </c>
      <c r="C115" s="248">
        <f>'B8 Incidences '!$H86</f>
        <v>1.2564584871516844</v>
      </c>
      <c r="D115" s="353">
        <f>'B8 Incidences '!$N86</f>
        <v>1.5355172316382235</v>
      </c>
      <c r="E115" s="249"/>
      <c r="F115" s="357">
        <f t="shared" si="3"/>
        <v>1.395987859394954</v>
      </c>
    </row>
    <row r="116" spans="1:6" s="240" customFormat="1" x14ac:dyDescent="0.3">
      <c r="A116" s="245">
        <v>2013</v>
      </c>
      <c r="B116" s="246" t="s">
        <v>12</v>
      </c>
      <c r="C116" s="248">
        <f>'B8 Incidences '!$H14</f>
        <v>1.2531153274729752</v>
      </c>
      <c r="D116" s="353">
        <f>'B8 Incidences '!$N14</f>
        <v>1.580765482340879</v>
      </c>
      <c r="E116" s="249"/>
      <c r="F116" s="357">
        <f t="shared" si="3"/>
        <v>1.416940404906927</v>
      </c>
    </row>
    <row r="117" spans="1:6" s="240" customFormat="1" x14ac:dyDescent="0.3">
      <c r="A117" s="245">
        <v>2260</v>
      </c>
      <c r="B117" s="246" t="s">
        <v>223</v>
      </c>
      <c r="C117" s="248">
        <f>'B8 Incidences '!$H125</f>
        <v>1.8771653913971436</v>
      </c>
      <c r="D117" s="353">
        <f>'B8 Incidences '!$N125</f>
        <v>0.97950543215186647</v>
      </c>
      <c r="E117" s="249"/>
      <c r="F117" s="357">
        <f t="shared" si="3"/>
        <v>1.4283354117745051</v>
      </c>
    </row>
    <row r="118" spans="1:6" s="240" customFormat="1" x14ac:dyDescent="0.3">
      <c r="A118" s="245">
        <v>2047</v>
      </c>
      <c r="B118" s="246" t="s">
        <v>53</v>
      </c>
      <c r="C118" s="248">
        <f>'B8 Incidences '!$H33</f>
        <v>1.5299603452998554</v>
      </c>
      <c r="D118" s="353">
        <f>'B8 Incidences '!$N33</f>
        <v>1.3517684196233046</v>
      </c>
      <c r="E118" s="249"/>
      <c r="F118" s="357">
        <f t="shared" si="3"/>
        <v>1.4408643824615801</v>
      </c>
    </row>
    <row r="119" spans="1:6" s="240" customFormat="1" x14ac:dyDescent="0.3">
      <c r="A119" s="245">
        <v>2014</v>
      </c>
      <c r="B119" s="246" t="s">
        <v>14</v>
      </c>
      <c r="C119" s="248">
        <f>'B8 Incidences '!$H15</f>
        <v>1.4167295951633851</v>
      </c>
      <c r="D119" s="353">
        <f>'B8 Incidences '!$N15</f>
        <v>1.4722226661731534</v>
      </c>
      <c r="E119" s="249"/>
      <c r="F119" s="357">
        <f t="shared" si="3"/>
        <v>1.4444761306682694</v>
      </c>
    </row>
    <row r="120" spans="1:6" s="240" customFormat="1" x14ac:dyDescent="0.3">
      <c r="A120" s="245">
        <v>2220</v>
      </c>
      <c r="B120" s="246" t="s">
        <v>189</v>
      </c>
      <c r="C120" s="248">
        <f>'B8 Incidences '!$H106</f>
        <v>1.4390655025089885</v>
      </c>
      <c r="D120" s="353">
        <f>'B8 Incidences '!$N106</f>
        <v>1.4509686891441631</v>
      </c>
      <c r="E120" s="249"/>
      <c r="F120" s="357">
        <f t="shared" si="3"/>
        <v>1.4450170958265758</v>
      </c>
    </row>
    <row r="121" spans="1:6" s="240" customFormat="1" x14ac:dyDescent="0.3">
      <c r="A121" s="245">
        <v>2321</v>
      </c>
      <c r="B121" s="246" t="s">
        <v>386</v>
      </c>
      <c r="C121" s="248">
        <f>'B8 Incidences '!$H162</f>
        <v>1.2976034013923692</v>
      </c>
      <c r="D121" s="353">
        <f>'B8 Incidences '!$N162</f>
        <v>1.5963964223220817</v>
      </c>
      <c r="E121" s="249"/>
      <c r="F121" s="357">
        <f t="shared" si="3"/>
        <v>1.4469999118572254</v>
      </c>
    </row>
    <row r="122" spans="1:6" s="240" customFormat="1" x14ac:dyDescent="0.3">
      <c r="A122" s="245">
        <v>2025</v>
      </c>
      <c r="B122" s="246" t="s">
        <v>26</v>
      </c>
      <c r="C122" s="248">
        <f>'B8 Incidences '!$H20</f>
        <v>1.2477450807092585</v>
      </c>
      <c r="D122" s="353">
        <f>'B8 Incidences '!$N20</f>
        <v>1.6582547055031083</v>
      </c>
      <c r="E122" s="249"/>
      <c r="F122" s="357">
        <f t="shared" si="3"/>
        <v>1.4529998931061834</v>
      </c>
    </row>
    <row r="123" spans="1:6" s="240" customFormat="1" x14ac:dyDescent="0.3">
      <c r="A123" s="245">
        <v>2116</v>
      </c>
      <c r="B123" s="246" t="s">
        <v>307</v>
      </c>
      <c r="C123" s="248">
        <f>'B8 Incidences '!$H56</f>
        <v>1.8583866486392053</v>
      </c>
      <c r="D123" s="353">
        <f>'B8 Incidences '!$N56</f>
        <v>1.0632644766797272</v>
      </c>
      <c r="E123" s="249"/>
      <c r="F123" s="357">
        <f t="shared" si="3"/>
        <v>1.4608255626594664</v>
      </c>
    </row>
    <row r="124" spans="1:6" s="240" customFormat="1" x14ac:dyDescent="0.3">
      <c r="A124" s="245">
        <v>2213</v>
      </c>
      <c r="B124" s="246" t="s">
        <v>184</v>
      </c>
      <c r="C124" s="248">
        <f>'B8 Incidences '!$H103</f>
        <v>1.2974519484065037</v>
      </c>
      <c r="D124" s="353">
        <f>'B8 Incidences '!$N103</f>
        <v>1.6519078638701616</v>
      </c>
      <c r="E124" s="249"/>
      <c r="F124" s="357">
        <f t="shared" si="3"/>
        <v>1.4746799061383327</v>
      </c>
    </row>
    <row r="125" spans="1:6" s="240" customFormat="1" x14ac:dyDescent="0.3">
      <c r="A125" s="245">
        <v>2029</v>
      </c>
      <c r="B125" s="246" t="s">
        <v>30</v>
      </c>
      <c r="C125" s="248">
        <f>'B8 Incidences '!$H22</f>
        <v>1.3486630948898339</v>
      </c>
      <c r="D125" s="353">
        <f>'B8 Incidences '!$N22</f>
        <v>1.6040060519936266</v>
      </c>
      <c r="E125" s="249"/>
      <c r="F125" s="357">
        <f t="shared" si="3"/>
        <v>1.4763345734417301</v>
      </c>
    </row>
    <row r="126" spans="1:6" s="240" customFormat="1" x14ac:dyDescent="0.3">
      <c r="A126" s="245">
        <v>2124</v>
      </c>
      <c r="B126" s="246" t="s">
        <v>97</v>
      </c>
      <c r="C126" s="248">
        <f>'B8 Incidences '!$H60</f>
        <v>1.4190610876607517</v>
      </c>
      <c r="D126" s="353">
        <f>'B8 Incidences '!$N60</f>
        <v>1.5599690578045962</v>
      </c>
      <c r="E126" s="249"/>
      <c r="F126" s="357">
        <f t="shared" si="3"/>
        <v>1.489515072732674</v>
      </c>
    </row>
    <row r="127" spans="1:6" s="240" customFormat="1" x14ac:dyDescent="0.3">
      <c r="A127" s="245">
        <v>2270</v>
      </c>
      <c r="B127" s="246" t="s">
        <v>234</v>
      </c>
      <c r="C127" s="248">
        <f>'B8 Incidences '!$H131</f>
        <v>1.2641543363181487</v>
      </c>
      <c r="D127" s="353">
        <f>'B8 Incidences '!$N131</f>
        <v>1.732438286306422</v>
      </c>
      <c r="E127" s="249"/>
      <c r="F127" s="357">
        <f t="shared" si="3"/>
        <v>1.4982963113122854</v>
      </c>
    </row>
    <row r="128" spans="1:6" s="240" customFormat="1" x14ac:dyDescent="0.3">
      <c r="A128" s="245">
        <v>2186</v>
      </c>
      <c r="B128" s="246" t="s">
        <v>162</v>
      </c>
      <c r="C128" s="248">
        <f>'B8 Incidences '!$H92</f>
        <v>0.9247845000732916</v>
      </c>
      <c r="D128" s="353">
        <f>'B8 Incidences '!$N92</f>
        <v>2.1032916212245927</v>
      </c>
      <c r="E128" s="249"/>
      <c r="F128" s="357">
        <f t="shared" si="3"/>
        <v>1.5140380606489421</v>
      </c>
    </row>
    <row r="129" spans="1:6" s="240" customFormat="1" x14ac:dyDescent="0.3">
      <c r="A129" s="245">
        <v>2323</v>
      </c>
      <c r="B129" s="246" t="s">
        <v>294</v>
      </c>
      <c r="C129" s="248">
        <f>'B8 Incidences '!$H163</f>
        <v>1.2428884215607066</v>
      </c>
      <c r="D129" s="353">
        <f>'B8 Incidences '!$N163</f>
        <v>1.8100270193332868</v>
      </c>
      <c r="E129" s="249"/>
      <c r="F129" s="357">
        <f t="shared" si="3"/>
        <v>1.5264577204469967</v>
      </c>
    </row>
    <row r="130" spans="1:6" s="240" customFormat="1" x14ac:dyDescent="0.3">
      <c r="A130" s="245">
        <v>2043</v>
      </c>
      <c r="B130" s="246" t="s">
        <v>47</v>
      </c>
      <c r="C130" s="248">
        <f>'B8 Incidences '!$H30</f>
        <v>0.32279582510891952</v>
      </c>
      <c r="D130" s="353">
        <f>'B8 Incidences '!$N30</f>
        <v>2.7585346122521024</v>
      </c>
      <c r="E130" s="249"/>
      <c r="F130" s="357">
        <f t="shared" si="3"/>
        <v>1.540665218680511</v>
      </c>
    </row>
    <row r="131" spans="1:6" s="240" customFormat="1" x14ac:dyDescent="0.3">
      <c r="A131" s="245">
        <v>2200</v>
      </c>
      <c r="B131" s="246" t="s">
        <v>175</v>
      </c>
      <c r="C131" s="248">
        <f>'B8 Incidences '!$H99</f>
        <v>1.7012886871930744</v>
      </c>
      <c r="D131" s="353">
        <f>'B8 Incidences '!$N99</f>
        <v>1.3962510235654177</v>
      </c>
      <c r="E131" s="249"/>
      <c r="F131" s="357">
        <f t="shared" si="3"/>
        <v>1.5487698553792462</v>
      </c>
    </row>
    <row r="132" spans="1:6" s="240" customFormat="1" x14ac:dyDescent="0.3">
      <c r="A132" s="250">
        <v>2015</v>
      </c>
      <c r="B132" s="251" t="s">
        <v>16</v>
      </c>
      <c r="C132" s="252">
        <f>'B8 Incidences '!$H16</f>
        <v>1.7054838388725913</v>
      </c>
      <c r="D132" s="353">
        <f>'B8 Incidences '!$N16</f>
        <v>1.412273346024927</v>
      </c>
      <c r="E132" s="253"/>
      <c r="F132" s="357">
        <f t="shared" si="3"/>
        <v>1.5588785924487591</v>
      </c>
    </row>
    <row r="133" spans="1:6" s="240" customFormat="1" x14ac:dyDescent="0.3">
      <c r="A133" s="245">
        <v>2172</v>
      </c>
      <c r="B133" s="246" t="s">
        <v>144</v>
      </c>
      <c r="C133" s="248">
        <f>'B8 Incidences '!$H83</f>
        <v>1.7394945484991549</v>
      </c>
      <c r="D133" s="353">
        <f>'B8 Incidences '!$N83</f>
        <v>1.3859596780797698</v>
      </c>
      <c r="E133" s="249"/>
      <c r="F133" s="357">
        <f t="shared" si="3"/>
        <v>1.5627271132894625</v>
      </c>
    </row>
    <row r="134" spans="1:6" s="240" customFormat="1" x14ac:dyDescent="0.3">
      <c r="A134" s="245">
        <v>2096</v>
      </c>
      <c r="B134" s="246" t="s">
        <v>76</v>
      </c>
      <c r="C134" s="248">
        <f>'B8 Incidences '!$H48</f>
        <v>1.5356803156523631</v>
      </c>
      <c r="D134" s="353">
        <f>'B8 Incidences '!$N48</f>
        <v>1.6815841716862356</v>
      </c>
      <c r="E134" s="249"/>
      <c r="F134" s="357">
        <f t="shared" si="3"/>
        <v>1.6086322436692995</v>
      </c>
    </row>
    <row r="135" spans="1:6" s="261" customFormat="1" x14ac:dyDescent="0.3">
      <c r="A135" s="245">
        <v>2034</v>
      </c>
      <c r="B135" s="246" t="s">
        <v>35</v>
      </c>
      <c r="C135" s="248">
        <f>'B8 Incidences '!$H24</f>
        <v>1.4577425869702858</v>
      </c>
      <c r="D135" s="353">
        <f>'B8 Incidences '!$N24</f>
        <v>1.7766273152488883</v>
      </c>
      <c r="E135" s="249"/>
      <c r="F135" s="357">
        <f t="shared" si="3"/>
        <v>1.617184951109587</v>
      </c>
    </row>
    <row r="136" spans="1:6" s="240" customFormat="1" x14ac:dyDescent="0.3">
      <c r="A136" s="250">
        <v>2102</v>
      </c>
      <c r="B136" s="251" t="s">
        <v>83</v>
      </c>
      <c r="C136" s="252">
        <f>'B8 Incidences '!$H51</f>
        <v>1.4806554301771826</v>
      </c>
      <c r="D136" s="353">
        <f>'B8 Incidences '!$N51</f>
        <v>1.7927749403496502</v>
      </c>
      <c r="E136" s="253"/>
      <c r="F136" s="357">
        <f t="shared" ref="F136:F170" si="4">(C136+D136)/2</f>
        <v>1.6367151852634163</v>
      </c>
    </row>
    <row r="137" spans="1:6" s="240" customFormat="1" x14ac:dyDescent="0.3">
      <c r="A137" s="245">
        <v>2177</v>
      </c>
      <c r="B137" s="246" t="s">
        <v>152</v>
      </c>
      <c r="C137" s="248">
        <f>'B8 Incidences '!$H87</f>
        <v>1.5795697021530133</v>
      </c>
      <c r="D137" s="353">
        <f>'B8 Incidences '!$N87</f>
        <v>1.7298499460495305</v>
      </c>
      <c r="E137" s="249"/>
      <c r="F137" s="357">
        <f t="shared" si="4"/>
        <v>1.6547098241012719</v>
      </c>
    </row>
    <row r="138" spans="1:6" s="240" customFormat="1" x14ac:dyDescent="0.3">
      <c r="A138" s="245">
        <v>2208</v>
      </c>
      <c r="B138" s="246" t="s">
        <v>180</v>
      </c>
      <c r="C138" s="248">
        <f>'B8 Incidences '!$H101</f>
        <v>1.8266042870373504</v>
      </c>
      <c r="D138" s="353">
        <f>'B8 Incidences '!$N101</f>
        <v>1.4971868666047161</v>
      </c>
      <c r="E138" s="249"/>
      <c r="F138" s="357">
        <f t="shared" si="4"/>
        <v>1.6618955768210333</v>
      </c>
    </row>
    <row r="139" spans="1:6" s="240" customFormat="1" x14ac:dyDescent="0.3">
      <c r="A139" s="245">
        <v>2044</v>
      </c>
      <c r="B139" s="246" t="s">
        <v>49</v>
      </c>
      <c r="C139" s="248">
        <f>'B8 Incidences '!$H31</f>
        <v>2.0230816330297277</v>
      </c>
      <c r="D139" s="353">
        <f>'B8 Incidences '!$N31</f>
        <v>1.3098550790040073</v>
      </c>
      <c r="E139" s="249"/>
      <c r="F139" s="357">
        <f t="shared" si="4"/>
        <v>1.6664683560168676</v>
      </c>
    </row>
    <row r="140" spans="1:6" s="240" customFormat="1" x14ac:dyDescent="0.3">
      <c r="A140" s="245">
        <v>2072</v>
      </c>
      <c r="B140" s="246" t="s">
        <v>66</v>
      </c>
      <c r="C140" s="248">
        <f>'B8 Incidences '!$H43</f>
        <v>2.4688650075670999</v>
      </c>
      <c r="D140" s="353">
        <f>'B8 Incidences '!$N43</f>
        <v>0.86801614301114871</v>
      </c>
      <c r="E140" s="249"/>
      <c r="F140" s="357">
        <f t="shared" si="4"/>
        <v>1.6684405752891243</v>
      </c>
    </row>
    <row r="141" spans="1:6" s="240" customFormat="1" x14ac:dyDescent="0.3">
      <c r="A141" s="245">
        <v>2027</v>
      </c>
      <c r="B141" s="246" t="s">
        <v>28</v>
      </c>
      <c r="C141" s="248">
        <f>'B8 Incidences '!$H21</f>
        <v>1.3088098711625005</v>
      </c>
      <c r="D141" s="353">
        <f>'B8 Incidences '!$N21</f>
        <v>2.0324905403904769</v>
      </c>
      <c r="E141" s="249"/>
      <c r="F141" s="357">
        <f t="shared" si="4"/>
        <v>1.6706502057764887</v>
      </c>
    </row>
    <row r="142" spans="1:6" s="240" customFormat="1" x14ac:dyDescent="0.3">
      <c r="A142" s="245">
        <v>2278</v>
      </c>
      <c r="B142" s="246" t="s">
        <v>247</v>
      </c>
      <c r="C142" s="248">
        <f>'B8 Incidences '!$H138</f>
        <v>1.7458863210718867</v>
      </c>
      <c r="D142" s="353">
        <f>'B8 Incidences '!$N138</f>
        <v>1.5957153038843799</v>
      </c>
      <c r="E142" s="249"/>
      <c r="F142" s="357">
        <f t="shared" si="4"/>
        <v>1.6708008124781333</v>
      </c>
    </row>
    <row r="143" spans="1:6" s="240" customFormat="1" x14ac:dyDescent="0.3">
      <c r="A143" s="245">
        <v>2114</v>
      </c>
      <c r="B143" s="246" t="s">
        <v>90</v>
      </c>
      <c r="C143" s="248">
        <f>'B8 Incidences '!$H54</f>
        <v>1.781341672684321</v>
      </c>
      <c r="D143" s="353">
        <f>'B8 Incidences '!$N54</f>
        <v>1.584184672781271</v>
      </c>
      <c r="E143" s="249"/>
      <c r="F143" s="357">
        <f t="shared" si="4"/>
        <v>1.6827631727327961</v>
      </c>
    </row>
    <row r="144" spans="1:6" s="240" customFormat="1" x14ac:dyDescent="0.3">
      <c r="A144" s="245">
        <v>2016</v>
      </c>
      <c r="B144" s="246" t="s">
        <v>18</v>
      </c>
      <c r="C144" s="248">
        <f>'B8 Incidences '!$H17</f>
        <v>1.2907964847353637</v>
      </c>
      <c r="D144" s="353">
        <f>'B8 Incidences '!$N17</f>
        <v>2.0824385318021021</v>
      </c>
      <c r="E144" s="249"/>
      <c r="F144" s="357">
        <f t="shared" si="4"/>
        <v>1.6866175082687329</v>
      </c>
    </row>
    <row r="145" spans="1:6" s="240" customFormat="1" x14ac:dyDescent="0.3">
      <c r="A145" s="254">
        <v>2338</v>
      </c>
      <c r="B145" s="254" t="s">
        <v>297</v>
      </c>
      <c r="C145" s="248">
        <f>'B8 Incidences '!$H170</f>
        <v>1.4167960834469873</v>
      </c>
      <c r="D145" s="353">
        <f>'B8 Incidences '!$N170</f>
        <v>1.9774265643534845</v>
      </c>
      <c r="E145" s="249"/>
      <c r="F145" s="357">
        <f t="shared" si="4"/>
        <v>1.697111323900236</v>
      </c>
    </row>
    <row r="146" spans="1:6" s="240" customFormat="1" x14ac:dyDescent="0.3">
      <c r="A146" s="245">
        <v>2231</v>
      </c>
      <c r="B146" s="246" t="s">
        <v>204</v>
      </c>
      <c r="C146" s="248">
        <f>'B8 Incidences '!$H114</f>
        <v>1.8136630575386015</v>
      </c>
      <c r="D146" s="353">
        <f>'B8 Incidences '!$N114</f>
        <v>1.6035674644102846</v>
      </c>
      <c r="E146" s="249"/>
      <c r="F146" s="357">
        <f t="shared" si="4"/>
        <v>1.7086152609744429</v>
      </c>
    </row>
    <row r="147" spans="1:6" s="240" customFormat="1" x14ac:dyDescent="0.3">
      <c r="A147" s="245">
        <v>2145</v>
      </c>
      <c r="B147" s="246" t="s">
        <v>126</v>
      </c>
      <c r="C147" s="248">
        <f>'B8 Incidences '!$H72</f>
        <v>1.8800873372298652</v>
      </c>
      <c r="D147" s="353">
        <f>'B8 Incidences '!$N72</f>
        <v>1.6580447189014469</v>
      </c>
      <c r="E147" s="249"/>
      <c r="F147" s="357">
        <f t="shared" si="4"/>
        <v>1.769066028065656</v>
      </c>
    </row>
    <row r="148" spans="1:6" s="240" customFormat="1" x14ac:dyDescent="0.3">
      <c r="A148" s="245">
        <v>2152</v>
      </c>
      <c r="B148" s="246" t="s">
        <v>134</v>
      </c>
      <c r="C148" s="248">
        <f>'B8 Incidences '!$H76</f>
        <v>1.9832077016550314</v>
      </c>
      <c r="D148" s="353">
        <f>'B8 Incidences '!$N76</f>
        <v>1.559931526572669</v>
      </c>
      <c r="E148" s="249"/>
      <c r="F148" s="357">
        <f t="shared" si="4"/>
        <v>1.7715696141138502</v>
      </c>
    </row>
    <row r="149" spans="1:6" s="240" customFormat="1" x14ac:dyDescent="0.3">
      <c r="A149" s="245">
        <v>2192</v>
      </c>
      <c r="B149" s="246" t="s">
        <v>381</v>
      </c>
      <c r="C149" s="248">
        <f>'B8 Incidences '!$H94</f>
        <v>2.0857095372917982</v>
      </c>
      <c r="D149" s="353">
        <f>'B8 Incidences '!$N94</f>
        <v>1.5541684311178532</v>
      </c>
      <c r="E149" s="249"/>
      <c r="F149" s="357">
        <f t="shared" si="4"/>
        <v>1.8199389842048257</v>
      </c>
    </row>
    <row r="150" spans="1:6" s="240" customFormat="1" x14ac:dyDescent="0.3">
      <c r="A150" s="245">
        <v>2264</v>
      </c>
      <c r="B150" s="246" t="s">
        <v>228</v>
      </c>
      <c r="C150" s="248">
        <f>'B8 Incidences '!$H128</f>
        <v>2.2710693697831132</v>
      </c>
      <c r="D150" s="353">
        <f>'B8 Incidences '!$N128</f>
        <v>1.4144563447905476</v>
      </c>
      <c r="E150" s="249"/>
      <c r="F150" s="357">
        <f t="shared" si="4"/>
        <v>1.8427628572868304</v>
      </c>
    </row>
    <row r="151" spans="1:6" s="240" customFormat="1" x14ac:dyDescent="0.3">
      <c r="A151" s="245">
        <v>2335</v>
      </c>
      <c r="B151" s="246" t="s">
        <v>304</v>
      </c>
      <c r="C151" s="248">
        <f>'B8 Incidences '!$H167</f>
        <v>2.298245013070995</v>
      </c>
      <c r="D151" s="353">
        <f>'B8 Incidences '!$N167</f>
        <v>1.4377415332396</v>
      </c>
      <c r="E151" s="249"/>
      <c r="F151" s="357">
        <f t="shared" si="4"/>
        <v>1.8679932731552975</v>
      </c>
    </row>
    <row r="152" spans="1:6" s="240" customFormat="1" x14ac:dyDescent="0.3">
      <c r="A152" s="245">
        <v>2009</v>
      </c>
      <c r="B152" s="246" t="s">
        <v>6</v>
      </c>
      <c r="C152" s="248">
        <f>'B8 Incidences '!$H11</f>
        <v>2.4231934773190775</v>
      </c>
      <c r="D152" s="353">
        <f>'B8 Incidences '!$N11</f>
        <v>1.3343245903691752</v>
      </c>
      <c r="E152" s="237"/>
      <c r="F152" s="357">
        <f t="shared" si="4"/>
        <v>1.8787590338441262</v>
      </c>
    </row>
    <row r="153" spans="1:6" s="240" customFormat="1" x14ac:dyDescent="0.3">
      <c r="A153" s="245">
        <v>2160</v>
      </c>
      <c r="B153" s="246" t="s">
        <v>140</v>
      </c>
      <c r="C153" s="248">
        <f>'B8 Incidences '!$H79</f>
        <v>1.835799931324656</v>
      </c>
      <c r="D153" s="353">
        <f>'B8 Incidences '!$N79</f>
        <v>1.9283122296712301</v>
      </c>
      <c r="E153" s="249"/>
      <c r="F153" s="357">
        <f t="shared" si="4"/>
        <v>1.8820560804979429</v>
      </c>
    </row>
    <row r="154" spans="1:6" s="240" customFormat="1" x14ac:dyDescent="0.3">
      <c r="A154" s="245">
        <v>2226</v>
      </c>
      <c r="B154" s="246" t="s">
        <v>198</v>
      </c>
      <c r="C154" s="248">
        <f>'B8 Incidences '!$H111</f>
        <v>1.6308252023550902</v>
      </c>
      <c r="D154" s="353">
        <f>'B8 Incidences '!$N111</f>
        <v>2.1483685784611581</v>
      </c>
      <c r="E154" s="249"/>
      <c r="F154" s="357">
        <f t="shared" si="4"/>
        <v>1.8895968904081242</v>
      </c>
    </row>
    <row r="155" spans="1:6" s="240" customFormat="1" x14ac:dyDescent="0.3">
      <c r="A155" s="245">
        <v>2052</v>
      </c>
      <c r="B155" s="246" t="s">
        <v>311</v>
      </c>
      <c r="C155" s="248">
        <f>'B8 Incidences '!$H37</f>
        <v>1.8127096725417595</v>
      </c>
      <c r="D155" s="353">
        <f>'B8 Incidences '!$N37</f>
        <v>2.0035914129791172</v>
      </c>
      <c r="E155" s="249"/>
      <c r="F155" s="357">
        <f t="shared" si="4"/>
        <v>1.9081505427604384</v>
      </c>
    </row>
    <row r="156" spans="1:6" s="240" customFormat="1" x14ac:dyDescent="0.3">
      <c r="A156" s="245">
        <v>2113</v>
      </c>
      <c r="B156" s="246" t="s">
        <v>89</v>
      </c>
      <c r="C156" s="248">
        <f>'B8 Incidences '!$H53</f>
        <v>2.0275579257776051</v>
      </c>
      <c r="D156" s="353">
        <f>'B8 Incidences '!$N53</f>
        <v>1.7927832485502806</v>
      </c>
      <c r="E156" s="249"/>
      <c r="F156" s="357">
        <f t="shared" si="4"/>
        <v>1.9101705871639427</v>
      </c>
    </row>
    <row r="157" spans="1:6" s="240" customFormat="1" x14ac:dyDescent="0.3">
      <c r="A157" s="245">
        <v>2067</v>
      </c>
      <c r="B157" s="246" t="s">
        <v>62</v>
      </c>
      <c r="C157" s="248">
        <f>'B8 Incidences '!$H41</f>
        <v>1.8658360583791136</v>
      </c>
      <c r="D157" s="353">
        <f>'B8 Incidences '!$N41</f>
        <v>1.9988674705384974</v>
      </c>
      <c r="E157" s="249"/>
      <c r="F157" s="357">
        <f t="shared" si="4"/>
        <v>1.9323517644588055</v>
      </c>
    </row>
    <row r="158" spans="1:6" s="240" customFormat="1" x14ac:dyDescent="0.3">
      <c r="A158" s="245">
        <v>2035</v>
      </c>
      <c r="B158" s="246" t="s">
        <v>37</v>
      </c>
      <c r="C158" s="248">
        <f>'B8 Incidences '!$H25</f>
        <v>1.2522568414186517</v>
      </c>
      <c r="D158" s="353">
        <f>'B8 Incidences '!$N25</f>
        <v>2.6557936963586926</v>
      </c>
      <c r="E158" s="249"/>
      <c r="F158" s="357">
        <f t="shared" si="4"/>
        <v>1.9540252688886721</v>
      </c>
    </row>
    <row r="159" spans="1:6" s="240" customFormat="1" x14ac:dyDescent="0.3">
      <c r="A159" s="245">
        <v>2230</v>
      </c>
      <c r="B159" s="246" t="s">
        <v>202</v>
      </c>
      <c r="C159" s="248">
        <f>'B8 Incidences '!$H113</f>
        <v>2.6530676821359078</v>
      </c>
      <c r="D159" s="353">
        <f>'B8 Incidences '!$N113</f>
        <v>1.3050499006740466</v>
      </c>
      <c r="E159" s="249"/>
      <c r="F159" s="357">
        <f t="shared" si="4"/>
        <v>1.9790587914049773</v>
      </c>
    </row>
    <row r="160" spans="1:6" s="240" customFormat="1" x14ac:dyDescent="0.3">
      <c r="A160" s="245">
        <v>2254</v>
      </c>
      <c r="B160" s="246" t="s">
        <v>215</v>
      </c>
      <c r="C160" s="248">
        <f>'B8 Incidences '!$H121</f>
        <v>1.751704480866328</v>
      </c>
      <c r="D160" s="353">
        <f>'B8 Incidences '!$N121</f>
        <v>2.260741278827342</v>
      </c>
      <c r="E160" s="249"/>
      <c r="F160" s="357">
        <f t="shared" si="4"/>
        <v>2.0062228798468351</v>
      </c>
    </row>
    <row r="161" spans="1:6" s="240" customFormat="1" x14ac:dyDescent="0.3">
      <c r="A161" s="245">
        <v>2140</v>
      </c>
      <c r="B161" s="246" t="s">
        <v>122</v>
      </c>
      <c r="C161" s="248">
        <f>'B8 Incidences '!$H70</f>
        <v>1.9536924567351441</v>
      </c>
      <c r="D161" s="353">
        <f>'B8 Incidences '!$N70</f>
        <v>2.0604161376634065</v>
      </c>
      <c r="E161" s="249"/>
      <c r="F161" s="357">
        <f t="shared" si="4"/>
        <v>2.0070542971992751</v>
      </c>
    </row>
    <row r="162" spans="1:6" s="240" customFormat="1" x14ac:dyDescent="0.3">
      <c r="A162" s="254">
        <v>2337</v>
      </c>
      <c r="B162" s="255" t="s">
        <v>300</v>
      </c>
      <c r="C162" s="248">
        <f>'B8 Incidences '!$H169</f>
        <v>1.5776825412322333</v>
      </c>
      <c r="D162" s="353">
        <f>'B8 Incidences '!$N169</f>
        <v>2.4416540497317776</v>
      </c>
      <c r="E162" s="249"/>
      <c r="F162" s="357">
        <f t="shared" si="4"/>
        <v>2.0096682954820055</v>
      </c>
    </row>
    <row r="163" spans="1:6" s="240" customFormat="1" x14ac:dyDescent="0.3">
      <c r="A163" s="245">
        <v>2086</v>
      </c>
      <c r="B163" s="246" t="s">
        <v>70</v>
      </c>
      <c r="C163" s="248">
        <f>'B8 Incidences '!$H45</f>
        <v>3.0040457893797035</v>
      </c>
      <c r="D163" s="353">
        <f>'B8 Incidences '!$N45</f>
        <v>1.0446764155245611</v>
      </c>
      <c r="E163" s="249"/>
      <c r="F163" s="357">
        <f t="shared" si="4"/>
        <v>2.0243611024521324</v>
      </c>
    </row>
    <row r="164" spans="1:6" s="240" customFormat="1" x14ac:dyDescent="0.3">
      <c r="A164" s="245">
        <v>2087</v>
      </c>
      <c r="B164" s="246" t="s">
        <v>72</v>
      </c>
      <c r="C164" s="248">
        <f>'B8 Incidences '!$H46</f>
        <v>2.5278165194525219</v>
      </c>
      <c r="D164" s="353">
        <f>'B8 Incidences '!$N46</f>
        <v>1.6980901245260944</v>
      </c>
      <c r="E164" s="249"/>
      <c r="F164" s="357">
        <f t="shared" si="4"/>
        <v>2.1129533219893082</v>
      </c>
    </row>
    <row r="165" spans="1:6" s="240" customFormat="1" x14ac:dyDescent="0.3">
      <c r="A165" s="245">
        <v>2068</v>
      </c>
      <c r="B165" s="246" t="s">
        <v>64</v>
      </c>
      <c r="C165" s="248">
        <f>'B8 Incidences '!$H42</f>
        <v>1.5461828314168951</v>
      </c>
      <c r="D165" s="353">
        <f>'B8 Incidences '!$N42</f>
        <v>2.7517734793843136</v>
      </c>
      <c r="E165" s="249"/>
      <c r="F165" s="357">
        <f t="shared" si="4"/>
        <v>2.1489781554006044</v>
      </c>
    </row>
    <row r="166" spans="1:6" s="240" customFormat="1" x14ac:dyDescent="0.3">
      <c r="A166" s="245">
        <v>2138</v>
      </c>
      <c r="B166" s="246" t="s">
        <v>120</v>
      </c>
      <c r="C166" s="248">
        <f>'B8 Incidences '!$H69</f>
        <v>2.981122713067883</v>
      </c>
      <c r="D166" s="353">
        <f>'B8 Incidences '!$N69</f>
        <v>1.3428256121462601</v>
      </c>
      <c r="E166" s="249"/>
      <c r="F166" s="357">
        <f t="shared" si="4"/>
        <v>2.1619741626070716</v>
      </c>
    </row>
    <row r="167" spans="1:6" s="240" customFormat="1" x14ac:dyDescent="0.3">
      <c r="A167" s="245">
        <v>2298</v>
      </c>
      <c r="B167" s="246" t="s">
        <v>268</v>
      </c>
      <c r="C167" s="248">
        <f>'B8 Incidences '!$H149</f>
        <v>2.4832508547621721</v>
      </c>
      <c r="D167" s="353">
        <f>'B8 Incidences '!$N149</f>
        <v>2.1211322370897179</v>
      </c>
      <c r="E167" s="249"/>
      <c r="F167" s="357">
        <f t="shared" si="4"/>
        <v>2.302191545925945</v>
      </c>
    </row>
    <row r="168" spans="1:6" s="240" customFormat="1" x14ac:dyDescent="0.3">
      <c r="A168" s="245">
        <v>2038</v>
      </c>
      <c r="B168" s="246" t="s">
        <v>39</v>
      </c>
      <c r="C168" s="248">
        <f>'B8 Incidences '!$H26</f>
        <v>1.9378574891833995</v>
      </c>
      <c r="D168" s="353">
        <f>'B8 Incidences '!$N26</f>
        <v>2.898347946642541</v>
      </c>
      <c r="E168" s="249"/>
      <c r="F168" s="357">
        <f t="shared" si="4"/>
        <v>2.4181027179129702</v>
      </c>
    </row>
    <row r="169" spans="1:6" s="240" customFormat="1" x14ac:dyDescent="0.3">
      <c r="A169" s="245">
        <v>2310</v>
      </c>
      <c r="B169" s="246" t="s">
        <v>291</v>
      </c>
      <c r="C169" s="248">
        <f>'B8 Incidences '!$H161</f>
        <v>4.9998102676134737</v>
      </c>
      <c r="D169" s="353">
        <f>'B8 Incidences '!$N161</f>
        <v>1.1125093650305273</v>
      </c>
      <c r="E169" s="249"/>
      <c r="F169" s="357">
        <f t="shared" si="4"/>
        <v>3.0561598163220003</v>
      </c>
    </row>
    <row r="170" spans="1:6" s="240" customFormat="1" x14ac:dyDescent="0.3">
      <c r="A170" s="256">
        <v>2063</v>
      </c>
      <c r="B170" s="257" t="s">
        <v>59</v>
      </c>
      <c r="C170" s="354">
        <f>'B8 Incidences '!$H39</f>
        <v>4.312699929746822</v>
      </c>
      <c r="D170" s="355">
        <f>'B8 Incidences '!$N39</f>
        <v>2.1380793556260644</v>
      </c>
      <c r="E170" s="249"/>
      <c r="F170" s="357">
        <f t="shared" si="4"/>
        <v>3.2253896426864435</v>
      </c>
    </row>
  </sheetData>
  <sortState ref="A8:F170">
    <sortCondition ref="F8:F170"/>
  </sortState>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opLeftCell="A4" workbookViewId="0">
      <selection activeCell="F24" sqref="F24"/>
    </sheetView>
  </sheetViews>
  <sheetFormatPr baseColWidth="10" defaultColWidth="11.44140625" defaultRowHeight="14.4" x14ac:dyDescent="0.3"/>
  <cols>
    <col min="1" max="1" width="6" style="39" customWidth="1"/>
    <col min="2" max="2" width="30.6640625" style="39" customWidth="1"/>
    <col min="3" max="3" width="13.44140625" style="39" bestFit="1" customWidth="1"/>
    <col min="4" max="4" width="9.88671875" style="39" customWidth="1"/>
    <col min="5" max="5" width="14.109375" style="39" customWidth="1"/>
    <col min="6" max="6" width="8.6640625" style="39" customWidth="1"/>
    <col min="7" max="7" width="12.44140625" style="39" bestFit="1" customWidth="1"/>
    <col min="8" max="16384" width="11.44140625" style="39"/>
  </cols>
  <sheetData>
    <row r="1" spans="1:10" x14ac:dyDescent="0.3">
      <c r="A1" s="431" t="s">
        <v>406</v>
      </c>
      <c r="B1" s="432"/>
      <c r="C1" s="432"/>
      <c r="D1" s="432"/>
      <c r="E1" s="432"/>
      <c r="F1" s="432"/>
      <c r="G1" s="432"/>
      <c r="H1" s="432"/>
    </row>
    <row r="2" spans="1:10" ht="16.2" customHeight="1" x14ac:dyDescent="0.3">
      <c r="A2" s="431"/>
      <c r="B2" s="432"/>
      <c r="C2" s="435">
        <v>2011</v>
      </c>
      <c r="D2" s="436"/>
      <c r="E2" s="435">
        <v>2012</v>
      </c>
      <c r="F2" s="436"/>
      <c r="G2" s="437">
        <v>2013</v>
      </c>
      <c r="H2" s="438"/>
    </row>
    <row r="3" spans="1:10" ht="16.2" customHeight="1" x14ac:dyDescent="0.3">
      <c r="A3" s="114">
        <v>1</v>
      </c>
      <c r="B3" s="115" t="s">
        <v>365</v>
      </c>
      <c r="C3" s="116">
        <f>'B2 données 2011'!C181</f>
        <v>15930519.080000013</v>
      </c>
      <c r="D3" s="124">
        <f>C3/$C$13</f>
        <v>3.1907998380740661E-2</v>
      </c>
      <c r="E3" s="116">
        <f>'B3 données 2012'!C179</f>
        <v>16842382.780000001</v>
      </c>
      <c r="F3" s="124">
        <f>E3/$E$13</f>
        <v>3.2077137356816873E-2</v>
      </c>
      <c r="G3" s="116">
        <f>'B4 données 2013'!C178</f>
        <v>15810736.280000027</v>
      </c>
      <c r="H3" s="124">
        <f>G3/$G$13</f>
        <v>2.9176121528759251E-2</v>
      </c>
    </row>
    <row r="4" spans="1:10" ht="16.2" customHeight="1" x14ac:dyDescent="0.3">
      <c r="A4" s="117">
        <v>200</v>
      </c>
      <c r="B4" s="118" t="s">
        <v>366</v>
      </c>
      <c r="C4" s="119">
        <f>'B2 données 2011'!C177</f>
        <v>25157407.420000009</v>
      </c>
      <c r="D4" s="125">
        <f t="shared" ref="D4:D12" si="0">C4/$C$13</f>
        <v>5.0388974219225051E-2</v>
      </c>
      <c r="E4" s="119">
        <f>'B3 données 2012'!C175</f>
        <v>27031722.390000008</v>
      </c>
      <c r="F4" s="125">
        <f t="shared" ref="F4:F12" si="1">E4/$E$13</f>
        <v>5.1483230337517144E-2</v>
      </c>
      <c r="G4" s="119">
        <f>'B4 données 2013'!E174</f>
        <v>29870911.699999996</v>
      </c>
      <c r="H4" s="125">
        <f t="shared" ref="H4:H12" si="2">G4/$G$13</f>
        <v>5.5121870006551957E-2</v>
      </c>
    </row>
    <row r="5" spans="1:10" ht="16.2" customHeight="1" x14ac:dyDescent="0.3">
      <c r="A5" s="110">
        <v>210</v>
      </c>
      <c r="B5" s="111" t="s">
        <v>367</v>
      </c>
      <c r="C5" s="123">
        <f>'B2 données 2011'!E177</f>
        <v>223537668.04999995</v>
      </c>
      <c r="D5" s="126">
        <f t="shared" si="0"/>
        <v>0.4477342837578106</v>
      </c>
      <c r="E5" s="123">
        <f>'B3 données 2012'!E175</f>
        <v>227134839.11999992</v>
      </c>
      <c r="F5" s="126">
        <f t="shared" si="1"/>
        <v>0.43258935081457278</v>
      </c>
      <c r="G5" s="123">
        <f>'B4 données 2013'!G174</f>
        <v>236668019.68000001</v>
      </c>
      <c r="H5" s="126">
        <f t="shared" si="2"/>
        <v>0.43673202701439617</v>
      </c>
    </row>
    <row r="6" spans="1:10" ht="16.2" customHeight="1" x14ac:dyDescent="0.3">
      <c r="A6" s="110" t="s">
        <v>375</v>
      </c>
      <c r="B6" s="111" t="s">
        <v>368</v>
      </c>
      <c r="C6" s="123"/>
      <c r="D6" s="126"/>
      <c r="E6" s="123"/>
      <c r="F6" s="126"/>
      <c r="G6" s="123"/>
      <c r="H6" s="126"/>
    </row>
    <row r="7" spans="1:10" ht="16.2" customHeight="1" x14ac:dyDescent="0.3">
      <c r="A7" s="112">
        <v>220</v>
      </c>
      <c r="B7" s="113" t="s">
        <v>369</v>
      </c>
      <c r="C7" s="120">
        <f>'B2 données 2011'!G177</f>
        <v>48102826.680000015</v>
      </c>
      <c r="D7" s="127">
        <f t="shared" si="0"/>
        <v>9.6347451586900071E-2</v>
      </c>
      <c r="E7" s="120">
        <f>'B3 données 2012'!G175</f>
        <v>49790696.720000006</v>
      </c>
      <c r="F7" s="127">
        <f t="shared" si="1"/>
        <v>9.4828804133084282E-2</v>
      </c>
      <c r="G7" s="120">
        <f>'B4 données 2013'!I174</f>
        <v>50317161.670000002</v>
      </c>
      <c r="H7" s="127">
        <f t="shared" si="2"/>
        <v>9.2852072026726906E-2</v>
      </c>
      <c r="J7" s="133"/>
    </row>
    <row r="8" spans="1:10" ht="16.2" customHeight="1" x14ac:dyDescent="0.3">
      <c r="A8" s="117">
        <v>41</v>
      </c>
      <c r="B8" s="118" t="s">
        <v>370</v>
      </c>
      <c r="C8" s="119">
        <f>'B2 données 2011'!I177</f>
        <v>49930637.359999999</v>
      </c>
      <c r="D8" s="125">
        <f t="shared" si="0"/>
        <v>0.10000846099436879</v>
      </c>
      <c r="E8" s="119">
        <f>'B3 données 2012'!I175</f>
        <v>57782365.239999972</v>
      </c>
      <c r="F8" s="125">
        <f t="shared" si="1"/>
        <v>0.1100493256100453</v>
      </c>
      <c r="G8" s="119">
        <f>'B4 données 2013'!K174</f>
        <v>59429662.29999999</v>
      </c>
      <c r="H8" s="125">
        <f t="shared" si="2"/>
        <v>0.1096676978839545</v>
      </c>
      <c r="I8" s="328"/>
      <c r="J8" s="328"/>
    </row>
    <row r="9" spans="1:10" ht="16.2" customHeight="1" x14ac:dyDescent="0.3">
      <c r="A9" s="112">
        <v>44</v>
      </c>
      <c r="B9" s="113" t="s">
        <v>371</v>
      </c>
      <c r="C9" s="120">
        <f>'B2 données 2011'!K177</f>
        <v>23120984.390000001</v>
      </c>
      <c r="D9" s="127">
        <f t="shared" si="0"/>
        <v>4.6310125161172687E-2</v>
      </c>
      <c r="E9" s="120">
        <f>'B3 données 2012'!K175</f>
        <v>25445526.499999985</v>
      </c>
      <c r="F9" s="127">
        <f t="shared" si="1"/>
        <v>4.8462243099371194E-2</v>
      </c>
      <c r="G9" s="120">
        <f>'B4 données 2013'!M174</f>
        <v>25410397.84999999</v>
      </c>
      <c r="H9" s="127">
        <f t="shared" si="2"/>
        <v>4.6890723027461764E-2</v>
      </c>
      <c r="I9" s="328"/>
      <c r="J9" s="328"/>
    </row>
    <row r="10" spans="1:10" ht="16.2" customHeight="1" x14ac:dyDescent="0.3">
      <c r="A10" s="117" t="s">
        <v>409</v>
      </c>
      <c r="B10" s="118" t="s">
        <v>372</v>
      </c>
      <c r="C10" s="119"/>
      <c r="D10" s="125">
        <f t="shared" si="0"/>
        <v>0</v>
      </c>
      <c r="E10" s="119"/>
      <c r="F10" s="125">
        <f t="shared" si="1"/>
        <v>0</v>
      </c>
      <c r="G10" s="119"/>
      <c r="H10" s="125">
        <f t="shared" si="2"/>
        <v>0</v>
      </c>
    </row>
    <row r="11" spans="1:10" ht="16.2" customHeight="1" x14ac:dyDescent="0.3">
      <c r="A11" s="112">
        <v>58</v>
      </c>
      <c r="B11" s="113" t="s">
        <v>373</v>
      </c>
      <c r="C11" s="120">
        <f>'B2 données 2011'!M177</f>
        <v>41935362.640000008</v>
      </c>
      <c r="D11" s="127">
        <f t="shared" si="0"/>
        <v>8.399434296480511E-2</v>
      </c>
      <c r="E11" s="120">
        <f>'B3 données 2012'!M175</f>
        <v>43667516.969999954</v>
      </c>
      <c r="F11" s="127">
        <f t="shared" si="1"/>
        <v>8.3166910417281248E-2</v>
      </c>
      <c r="G11" s="120">
        <f>'B4 données 2013'!O174</f>
        <v>47022467.640000015</v>
      </c>
      <c r="H11" s="127">
        <f t="shared" si="2"/>
        <v>8.6772254381488376E-2</v>
      </c>
    </row>
    <row r="12" spans="1:10" ht="16.2" customHeight="1" x14ac:dyDescent="0.3">
      <c r="A12" s="117">
        <v>6</v>
      </c>
      <c r="B12" s="118" t="s">
        <v>374</v>
      </c>
      <c r="C12" s="116">
        <f>'B2 données 2011'!C184</f>
        <v>71548725.270000011</v>
      </c>
      <c r="D12" s="124">
        <f t="shared" si="0"/>
        <v>0.14330836293497706</v>
      </c>
      <c r="E12" s="116">
        <f>'B3 données 2012'!C182</f>
        <v>77363735.690000027</v>
      </c>
      <c r="F12" s="124">
        <f t="shared" si="1"/>
        <v>0.14734299823131122</v>
      </c>
      <c r="G12" s="116">
        <f>'B4 données 2013'!C181</f>
        <v>77377361.51000005</v>
      </c>
      <c r="H12" s="127">
        <f t="shared" si="2"/>
        <v>0.14278723413066099</v>
      </c>
    </row>
    <row r="13" spans="1:10" ht="16.2" customHeight="1" x14ac:dyDescent="0.3">
      <c r="A13" s="121"/>
      <c r="B13" s="121" t="s">
        <v>405</v>
      </c>
      <c r="C13" s="122">
        <f>SUM(C3:C12)</f>
        <v>499264130.88999999</v>
      </c>
      <c r="D13" s="128">
        <f t="shared" ref="D13:H13" si="3">SUM(D3:D12)</f>
        <v>1</v>
      </c>
      <c r="E13" s="122">
        <f t="shared" si="3"/>
        <v>525058785.40999985</v>
      </c>
      <c r="F13" s="128">
        <f t="shared" si="3"/>
        <v>1</v>
      </c>
      <c r="G13" s="122">
        <f t="shared" si="3"/>
        <v>541906718.63000011</v>
      </c>
      <c r="H13" s="128">
        <f t="shared" si="3"/>
        <v>1</v>
      </c>
    </row>
    <row r="14" spans="1:10" ht="12" customHeight="1" x14ac:dyDescent="0.3">
      <c r="B14" s="120"/>
    </row>
    <row r="15" spans="1:10" s="319" customFormat="1" ht="29.4" customHeight="1" x14ac:dyDescent="0.3">
      <c r="A15" s="318" t="s">
        <v>377</v>
      </c>
      <c r="B15" s="433" t="s">
        <v>407</v>
      </c>
      <c r="C15" s="434"/>
      <c r="D15" s="434"/>
      <c r="E15" s="434"/>
      <c r="F15" s="434"/>
      <c r="G15" s="434"/>
      <c r="H15" s="434"/>
    </row>
    <row r="16" spans="1:10" s="319" customFormat="1" ht="29.4" customHeight="1" x14ac:dyDescent="0.3">
      <c r="A16" s="318" t="s">
        <v>410</v>
      </c>
      <c r="B16" s="433" t="s">
        <v>408</v>
      </c>
      <c r="C16" s="434"/>
      <c r="D16" s="434"/>
      <c r="E16" s="434"/>
      <c r="F16" s="434"/>
      <c r="G16" s="434"/>
      <c r="H16" s="434"/>
    </row>
    <row r="17" spans="1:8" x14ac:dyDescent="0.3">
      <c r="A17" s="316"/>
    </row>
    <row r="18" spans="1:8" x14ac:dyDescent="0.3">
      <c r="A18" s="316"/>
    </row>
    <row r="19" spans="1:8" x14ac:dyDescent="0.3">
      <c r="A19" s="315" t="s">
        <v>430</v>
      </c>
      <c r="B19" s="91" t="s">
        <v>401</v>
      </c>
      <c r="C19" s="88">
        <f>SUM(C3:C12)</f>
        <v>499264130.88999999</v>
      </c>
      <c r="D19" s="88"/>
      <c r="E19" s="88">
        <f>SUM(E3:E12)</f>
        <v>525058785.40999985</v>
      </c>
      <c r="F19" s="88"/>
      <c r="G19" s="88">
        <f>SUM(G3:G12)</f>
        <v>541906718.63000011</v>
      </c>
      <c r="H19" s="88"/>
    </row>
    <row r="20" spans="1:8" x14ac:dyDescent="0.3">
      <c r="A20" s="316"/>
      <c r="B20" s="89" t="s">
        <v>378</v>
      </c>
      <c r="C20" s="88">
        <f>'B7 Performance corr fusions'!C6</f>
        <v>284668</v>
      </c>
      <c r="D20" s="88"/>
      <c r="E20" s="88">
        <f>'B7 Performance corr fusions'!D6</f>
        <v>291395</v>
      </c>
      <c r="F20" s="88"/>
      <c r="G20" s="88">
        <f>'B7 Performance corr fusions'!E6</f>
        <v>297622</v>
      </c>
      <c r="H20" s="88"/>
    </row>
    <row r="21" spans="1:8" x14ac:dyDescent="0.3">
      <c r="A21" s="316"/>
      <c r="B21" s="90" t="s">
        <v>379</v>
      </c>
      <c r="C21" s="88">
        <f>SUM(C3:C12)/C20</f>
        <v>1753.8470459974426</v>
      </c>
      <c r="D21" s="88"/>
      <c r="E21" s="88">
        <f>SUM(E3:E12)/E20</f>
        <v>1801.8798723725522</v>
      </c>
      <c r="F21" s="88"/>
      <c r="G21" s="88">
        <f t="shared" ref="G21" si="4">SUM(G3:G12)/G20</f>
        <v>1820.7885123747576</v>
      </c>
      <c r="H21" s="88"/>
    </row>
    <row r="22" spans="1:8" x14ac:dyDescent="0.3">
      <c r="A22" s="316"/>
      <c r="C22" s="133"/>
      <c r="D22" s="133"/>
      <c r="E22" s="133"/>
      <c r="F22" s="133"/>
      <c r="G22" s="133"/>
      <c r="H22" s="133"/>
    </row>
    <row r="23" spans="1:8" x14ac:dyDescent="0.3">
      <c r="A23" s="315" t="s">
        <v>430</v>
      </c>
      <c r="B23" s="132" t="s">
        <v>411</v>
      </c>
      <c r="C23" s="133">
        <v>1392004229.9000001</v>
      </c>
      <c r="D23" s="133"/>
      <c r="E23" s="133">
        <v>1436942748.55</v>
      </c>
      <c r="F23" s="133"/>
      <c r="G23" s="133">
        <v>1484032362.5999999</v>
      </c>
      <c r="H23" s="133"/>
    </row>
    <row r="24" spans="1:8" x14ac:dyDescent="0.3">
      <c r="A24" s="315"/>
      <c r="B24" s="428" t="s">
        <v>453</v>
      </c>
      <c r="C24" s="133">
        <f>C23/C20</f>
        <v>4889.9216979077382</v>
      </c>
      <c r="D24" s="133"/>
      <c r="E24" s="133">
        <f t="shared" ref="E24:G24" si="5">E23/E20</f>
        <v>4931.2539630055426</v>
      </c>
      <c r="F24" s="133"/>
      <c r="G24" s="133">
        <f t="shared" si="5"/>
        <v>4986.2992742471988</v>
      </c>
      <c r="H24" s="133"/>
    </row>
    <row r="25" spans="1:8" ht="28.8" x14ac:dyDescent="0.3">
      <c r="A25" s="316"/>
      <c r="B25" s="429" t="s">
        <v>505</v>
      </c>
      <c r="C25" s="134">
        <f>C19/C23</f>
        <v>0.35866567081183837</v>
      </c>
      <c r="D25" s="134"/>
      <c r="E25" s="134">
        <f t="shared" ref="E25:G25" si="6">E19/E23</f>
        <v>0.36539993394992931</v>
      </c>
      <c r="F25" s="134"/>
      <c r="G25" s="134">
        <f t="shared" si="6"/>
        <v>0.36515828919026305</v>
      </c>
    </row>
    <row r="26" spans="1:8" x14ac:dyDescent="0.3">
      <c r="A26" s="316"/>
    </row>
    <row r="27" spans="1:8" s="319" customFormat="1" ht="29.4" customHeight="1" x14ac:dyDescent="0.3">
      <c r="A27" s="318" t="s">
        <v>430</v>
      </c>
      <c r="B27" s="430" t="s">
        <v>431</v>
      </c>
      <c r="C27" s="430"/>
      <c r="D27" s="430"/>
      <c r="E27" s="430"/>
      <c r="F27" s="430"/>
      <c r="G27" s="430"/>
      <c r="H27" s="430"/>
    </row>
    <row r="28" spans="1:8" x14ac:dyDescent="0.3">
      <c r="A28" s="316"/>
    </row>
    <row r="29" spans="1:8" x14ac:dyDescent="0.3">
      <c r="A29" s="316"/>
      <c r="B29" s="426" t="s">
        <v>503</v>
      </c>
      <c r="C29" s="133">
        <f>'B7 Performance corr fusions'!O6</f>
        <v>12241890.944659948</v>
      </c>
      <c r="E29" s="133">
        <f>'B7 Performance corr fusions'!P6</f>
        <v>12568392.58278949</v>
      </c>
      <c r="G29" s="133">
        <f>'B7 Performance corr fusions'!Q6</f>
        <v>12615791.849354342</v>
      </c>
    </row>
    <row r="30" spans="1:8" x14ac:dyDescent="0.3">
      <c r="A30" s="316"/>
      <c r="B30" s="426" t="s">
        <v>504</v>
      </c>
      <c r="C30" s="427">
        <f>C29/C19*100</f>
        <v>2.4519868717260476</v>
      </c>
      <c r="D30" s="427"/>
      <c r="E30" s="427">
        <f>E29/E19*100</f>
        <v>2.3937115104121678</v>
      </c>
      <c r="F30" s="427"/>
      <c r="G30" s="427">
        <f>G29/G19*100</f>
        <v>2.328037541451498</v>
      </c>
    </row>
    <row r="31" spans="1:8" x14ac:dyDescent="0.3">
      <c r="A31" s="317"/>
    </row>
    <row r="32" spans="1:8" x14ac:dyDescent="0.3">
      <c r="A32" s="317"/>
    </row>
    <row r="33" spans="1:1" x14ac:dyDescent="0.3">
      <c r="A33" s="317"/>
    </row>
    <row r="34" spans="1:1" x14ac:dyDescent="0.3">
      <c r="A34" s="317"/>
    </row>
  </sheetData>
  <mergeCells count="8">
    <mergeCell ref="B27:H27"/>
    <mergeCell ref="A1:H1"/>
    <mergeCell ref="B15:H15"/>
    <mergeCell ref="B16:H16"/>
    <mergeCell ref="A2:B2"/>
    <mergeCell ref="C2:D2"/>
    <mergeCell ref="E2:F2"/>
    <mergeCell ref="G2:H2"/>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41"/>
  <sheetViews>
    <sheetView zoomScale="110" zoomScaleNormal="110" workbookViewId="0">
      <pane xSplit="2" ySplit="6" topLeftCell="K7" activePane="bottomRight" state="frozen"/>
      <selection pane="topRight" activeCell="C1" sqref="C1"/>
      <selection pane="bottomLeft" activeCell="A7" sqref="A7"/>
      <selection pane="bottomRight" activeCell="C198" sqref="C198"/>
    </sheetView>
  </sheetViews>
  <sheetFormatPr baseColWidth="10" defaultColWidth="10.6640625" defaultRowHeight="14.1" customHeight="1" x14ac:dyDescent="0.25"/>
  <cols>
    <col min="1" max="1" width="5.6640625" style="2" customWidth="1"/>
    <col min="2" max="2" width="25.6640625" style="3" customWidth="1"/>
    <col min="3" max="51" width="15.6640625" style="4" customWidth="1"/>
    <col min="52" max="16384" width="10.6640625" style="4"/>
  </cols>
  <sheetData>
    <row r="1" spans="1:16" s="3" customFormat="1" ht="14.1" customHeight="1" x14ac:dyDescent="0.25">
      <c r="A1" s="439" t="s">
        <v>391</v>
      </c>
      <c r="B1" s="440"/>
      <c r="C1" s="440"/>
      <c r="D1" s="440"/>
      <c r="E1" s="440"/>
    </row>
    <row r="2" spans="1:16" ht="14.1" customHeight="1" x14ac:dyDescent="0.25">
      <c r="A2" s="1"/>
      <c r="B2" s="2"/>
    </row>
    <row r="3" spans="1:16" ht="14.1" customHeight="1" x14ac:dyDescent="0.25">
      <c r="A3" s="1"/>
      <c r="B3" s="5"/>
    </row>
    <row r="4" spans="1:16" s="7" customFormat="1" ht="14.1" customHeight="1" x14ac:dyDescent="0.25">
      <c r="A4" s="6"/>
      <c r="B4" s="6"/>
      <c r="C4" s="441" t="s">
        <v>317</v>
      </c>
      <c r="D4" s="442"/>
      <c r="E4" s="441" t="s">
        <v>320</v>
      </c>
      <c r="F4" s="442"/>
      <c r="G4" s="441" t="s">
        <v>319</v>
      </c>
      <c r="H4" s="442"/>
      <c r="I4" s="441" t="s">
        <v>312</v>
      </c>
      <c r="J4" s="442"/>
      <c r="K4" s="441" t="s">
        <v>313</v>
      </c>
      <c r="L4" s="442"/>
      <c r="M4" s="441" t="s">
        <v>357</v>
      </c>
      <c r="N4" s="442"/>
      <c r="O4" s="441" t="s">
        <v>361</v>
      </c>
      <c r="P4" s="442"/>
    </row>
    <row r="5" spans="1:16" ht="14.1" customHeight="1" x14ac:dyDescent="0.25">
      <c r="A5" s="1"/>
      <c r="B5" s="2"/>
      <c r="C5" s="8" t="s">
        <v>314</v>
      </c>
      <c r="D5" s="8" t="s">
        <v>315</v>
      </c>
      <c r="E5" s="8" t="s">
        <v>314</v>
      </c>
      <c r="F5" s="8" t="s">
        <v>315</v>
      </c>
      <c r="G5" s="8" t="s">
        <v>314</v>
      </c>
      <c r="H5" s="8" t="s">
        <v>315</v>
      </c>
      <c r="I5" s="8" t="s">
        <v>314</v>
      </c>
      <c r="J5" s="8" t="s">
        <v>315</v>
      </c>
      <c r="K5" s="8" t="s">
        <v>314</v>
      </c>
      <c r="L5" s="8" t="s">
        <v>315</v>
      </c>
      <c r="M5" s="8" t="s">
        <v>314</v>
      </c>
      <c r="N5" s="8" t="s">
        <v>315</v>
      </c>
      <c r="O5" s="8" t="s">
        <v>314</v>
      </c>
      <c r="P5" s="8" t="s">
        <v>315</v>
      </c>
    </row>
    <row r="6" spans="1:16" ht="14.1" customHeight="1" x14ac:dyDescent="0.25">
      <c r="A6" s="1"/>
      <c r="B6" s="2"/>
    </row>
    <row r="7" spans="1:16" ht="14.1" customHeight="1" x14ac:dyDescent="0.25">
      <c r="A7" s="13" t="s">
        <v>0</v>
      </c>
      <c r="B7" s="14" t="s">
        <v>1</v>
      </c>
      <c r="C7" s="29">
        <v>29427.9</v>
      </c>
      <c r="D7" s="30">
        <v>0</v>
      </c>
      <c r="E7" s="29">
        <v>278908.90000000002</v>
      </c>
      <c r="F7" s="30">
        <v>63174.05</v>
      </c>
      <c r="G7" s="29">
        <v>65379.85</v>
      </c>
      <c r="H7" s="30">
        <v>0</v>
      </c>
      <c r="I7" s="29">
        <v>54752.25</v>
      </c>
      <c r="J7" s="30">
        <v>0</v>
      </c>
      <c r="K7" s="29">
        <v>19822.650000000001</v>
      </c>
      <c r="L7" s="30">
        <v>0</v>
      </c>
      <c r="M7" s="29">
        <v>42747.8</v>
      </c>
      <c r="N7" s="30">
        <v>3195.85</v>
      </c>
      <c r="O7" s="29">
        <v>16311.65</v>
      </c>
      <c r="P7" s="30">
        <v>2000</v>
      </c>
    </row>
    <row r="8" spans="1:16" ht="14.1" customHeight="1" x14ac:dyDescent="0.25">
      <c r="A8" s="15" t="s">
        <v>2</v>
      </c>
      <c r="B8" s="16" t="s">
        <v>3</v>
      </c>
      <c r="C8" s="31">
        <v>55896.05</v>
      </c>
      <c r="D8" s="32">
        <v>0</v>
      </c>
      <c r="E8" s="31">
        <v>497154.9</v>
      </c>
      <c r="F8" s="32">
        <v>23219.05</v>
      </c>
      <c r="G8" s="31">
        <v>125719.9</v>
      </c>
      <c r="H8" s="32">
        <v>0</v>
      </c>
      <c r="I8" s="31">
        <v>101494.15</v>
      </c>
      <c r="J8" s="32">
        <v>0</v>
      </c>
      <c r="K8" s="31">
        <v>67823.5</v>
      </c>
      <c r="L8" s="32">
        <v>0</v>
      </c>
      <c r="M8" s="31">
        <v>69101.3</v>
      </c>
      <c r="N8" s="32">
        <v>10065.15</v>
      </c>
      <c r="O8" s="31">
        <v>36648.15</v>
      </c>
      <c r="P8" s="32">
        <v>0</v>
      </c>
    </row>
    <row r="9" spans="1:16" ht="14.1" customHeight="1" x14ac:dyDescent="0.25">
      <c r="A9" s="15">
        <v>2006</v>
      </c>
      <c r="B9" s="16" t="s">
        <v>4</v>
      </c>
      <c r="C9" s="31">
        <v>28920.45</v>
      </c>
      <c r="D9" s="32">
        <v>0</v>
      </c>
      <c r="E9" s="31">
        <v>264885.55</v>
      </c>
      <c r="F9" s="32">
        <v>0</v>
      </c>
      <c r="G9" s="31">
        <v>63568.75</v>
      </c>
      <c r="H9" s="32">
        <v>0</v>
      </c>
      <c r="I9" s="31">
        <v>54313.9</v>
      </c>
      <c r="J9" s="32">
        <v>0</v>
      </c>
      <c r="K9" s="31">
        <v>33749.449999999997</v>
      </c>
      <c r="L9" s="32">
        <v>0</v>
      </c>
      <c r="M9" s="31">
        <v>31014.85</v>
      </c>
      <c r="N9" s="32">
        <v>0</v>
      </c>
      <c r="O9" s="31">
        <v>42483.45</v>
      </c>
      <c r="P9" s="32">
        <v>22693.15</v>
      </c>
    </row>
    <row r="10" spans="1:16" ht="14.1" customHeight="1" x14ac:dyDescent="0.25">
      <c r="A10" s="15" t="s">
        <v>5</v>
      </c>
      <c r="B10" s="16" t="s">
        <v>6</v>
      </c>
      <c r="C10" s="31">
        <v>30696.25</v>
      </c>
      <c r="D10" s="32">
        <v>0</v>
      </c>
      <c r="E10" s="31">
        <v>236562.5</v>
      </c>
      <c r="F10" s="32">
        <v>0</v>
      </c>
      <c r="G10" s="31">
        <v>64199.05</v>
      </c>
      <c r="H10" s="32">
        <v>0</v>
      </c>
      <c r="I10" s="31">
        <v>53215.4</v>
      </c>
      <c r="J10" s="32">
        <v>0</v>
      </c>
      <c r="K10" s="31">
        <v>27072.35</v>
      </c>
      <c r="L10" s="32">
        <v>0</v>
      </c>
      <c r="M10" s="31">
        <v>31110.75</v>
      </c>
      <c r="N10" s="32">
        <v>0</v>
      </c>
      <c r="O10" s="31">
        <v>43317.7</v>
      </c>
      <c r="P10" s="32">
        <v>0</v>
      </c>
    </row>
    <row r="11" spans="1:16" ht="14.1" customHeight="1" x14ac:dyDescent="0.25">
      <c r="A11" s="15" t="s">
        <v>7</v>
      </c>
      <c r="B11" s="16" t="s">
        <v>8</v>
      </c>
      <c r="C11" s="31">
        <v>95894.25</v>
      </c>
      <c r="D11" s="32">
        <v>0</v>
      </c>
      <c r="E11" s="31">
        <v>937937.55</v>
      </c>
      <c r="F11" s="32">
        <v>72035.100000000006</v>
      </c>
      <c r="G11" s="31">
        <v>207740.5</v>
      </c>
      <c r="H11" s="32">
        <v>0</v>
      </c>
      <c r="I11" s="31">
        <v>184669.4</v>
      </c>
      <c r="J11" s="32">
        <v>0</v>
      </c>
      <c r="K11" s="31">
        <v>101078.9</v>
      </c>
      <c r="L11" s="32">
        <v>0</v>
      </c>
      <c r="M11" s="31">
        <v>110325.9</v>
      </c>
      <c r="N11" s="32">
        <v>37860.1</v>
      </c>
      <c r="O11" s="31">
        <v>229107.7</v>
      </c>
      <c r="P11" s="32">
        <v>9455.2000000000007</v>
      </c>
    </row>
    <row r="12" spans="1:16" ht="14.1" customHeight="1" x14ac:dyDescent="0.25">
      <c r="A12" s="15" t="s">
        <v>9</v>
      </c>
      <c r="B12" s="16" t="s">
        <v>10</v>
      </c>
      <c r="C12" s="31">
        <v>123148.3</v>
      </c>
      <c r="D12" s="32">
        <v>0</v>
      </c>
      <c r="E12" s="31">
        <v>999361.2</v>
      </c>
      <c r="F12" s="32">
        <v>0</v>
      </c>
      <c r="G12" s="31">
        <v>267526</v>
      </c>
      <c r="H12" s="32">
        <v>0</v>
      </c>
      <c r="I12" s="31">
        <v>217183</v>
      </c>
      <c r="J12" s="32">
        <v>0</v>
      </c>
      <c r="K12" s="31">
        <v>117171.8</v>
      </c>
      <c r="L12" s="32">
        <v>0</v>
      </c>
      <c r="M12" s="31">
        <v>111794.25</v>
      </c>
      <c r="N12" s="32">
        <v>0</v>
      </c>
      <c r="O12" s="31">
        <v>327982.8</v>
      </c>
      <c r="P12" s="32">
        <v>32451.3</v>
      </c>
    </row>
    <row r="13" spans="1:16" ht="14.1" customHeight="1" x14ac:dyDescent="0.25">
      <c r="A13" s="15" t="s">
        <v>11</v>
      </c>
      <c r="B13" s="16" t="s">
        <v>12</v>
      </c>
      <c r="C13" s="31">
        <v>214366.8</v>
      </c>
      <c r="D13" s="32">
        <v>0</v>
      </c>
      <c r="E13" s="31">
        <v>1903309.2</v>
      </c>
      <c r="F13" s="32">
        <v>0</v>
      </c>
      <c r="G13" s="31">
        <v>493261.65</v>
      </c>
      <c r="H13" s="32">
        <v>0</v>
      </c>
      <c r="I13" s="31">
        <v>419361.55</v>
      </c>
      <c r="J13" s="32">
        <v>0</v>
      </c>
      <c r="K13" s="31">
        <v>228433.2</v>
      </c>
      <c r="L13" s="32">
        <v>0</v>
      </c>
      <c r="M13" s="31">
        <v>231335.2</v>
      </c>
      <c r="N13" s="32">
        <v>0</v>
      </c>
      <c r="O13" s="31">
        <v>692813.25</v>
      </c>
      <c r="P13" s="32">
        <v>64940.4</v>
      </c>
    </row>
    <row r="14" spans="1:16" ht="14.1" customHeight="1" x14ac:dyDescent="0.25">
      <c r="A14" s="15" t="s">
        <v>13</v>
      </c>
      <c r="B14" s="16" t="s">
        <v>14</v>
      </c>
      <c r="C14" s="31">
        <v>62745.65</v>
      </c>
      <c r="D14" s="32">
        <v>0</v>
      </c>
      <c r="E14" s="31">
        <v>533370.30000000005</v>
      </c>
      <c r="F14" s="32">
        <v>0</v>
      </c>
      <c r="G14" s="31">
        <v>149384</v>
      </c>
      <c r="H14" s="32">
        <v>0</v>
      </c>
      <c r="I14" s="31">
        <v>116593.15</v>
      </c>
      <c r="J14" s="32">
        <v>0</v>
      </c>
      <c r="K14" s="31">
        <v>59992.7</v>
      </c>
      <c r="L14" s="32">
        <v>0</v>
      </c>
      <c r="M14" s="31">
        <v>66902.05</v>
      </c>
      <c r="N14" s="32">
        <v>3148.05</v>
      </c>
      <c r="O14" s="31">
        <v>92721.13</v>
      </c>
      <c r="P14" s="32">
        <v>42044.4</v>
      </c>
    </row>
    <row r="15" spans="1:16" ht="14.1" customHeight="1" x14ac:dyDescent="0.25">
      <c r="A15" s="15" t="s">
        <v>15</v>
      </c>
      <c r="B15" s="16" t="s">
        <v>16</v>
      </c>
      <c r="C15" s="31">
        <v>465006.7</v>
      </c>
      <c r="D15" s="32">
        <v>10750</v>
      </c>
      <c r="E15" s="31">
        <v>3857828.1</v>
      </c>
      <c r="F15" s="32">
        <v>58527.85</v>
      </c>
      <c r="G15" s="31">
        <v>959513.4</v>
      </c>
      <c r="H15" s="32">
        <v>0</v>
      </c>
      <c r="I15" s="31">
        <v>816961.7</v>
      </c>
      <c r="J15" s="32">
        <v>0</v>
      </c>
      <c r="K15" s="31">
        <v>466195.4</v>
      </c>
      <c r="L15" s="32">
        <v>0</v>
      </c>
      <c r="M15" s="31">
        <v>747476.1</v>
      </c>
      <c r="N15" s="32">
        <v>167350.1</v>
      </c>
      <c r="O15" s="31">
        <v>2068682.14</v>
      </c>
      <c r="P15" s="32">
        <v>351816.4</v>
      </c>
    </row>
    <row r="16" spans="1:16" ht="14.1" customHeight="1" x14ac:dyDescent="0.25">
      <c r="A16" s="15" t="s">
        <v>17</v>
      </c>
      <c r="B16" s="16" t="s">
        <v>18</v>
      </c>
      <c r="C16" s="31">
        <v>83134.75</v>
      </c>
      <c r="D16" s="32">
        <v>6832</v>
      </c>
      <c r="E16" s="31">
        <v>606551.5</v>
      </c>
      <c r="F16" s="32">
        <v>22598.7</v>
      </c>
      <c r="G16" s="31">
        <v>157953.60000000001</v>
      </c>
      <c r="H16" s="32">
        <v>0</v>
      </c>
      <c r="I16" s="31">
        <v>127284.75</v>
      </c>
      <c r="J16" s="32">
        <v>0</v>
      </c>
      <c r="K16" s="31">
        <v>80042.350000000006</v>
      </c>
      <c r="L16" s="32">
        <v>0</v>
      </c>
      <c r="M16" s="31">
        <v>68894.850000000006</v>
      </c>
      <c r="N16" s="32">
        <v>0</v>
      </c>
      <c r="O16" s="31">
        <v>147493.04999999999</v>
      </c>
      <c r="P16" s="32">
        <v>46692.9</v>
      </c>
    </row>
    <row r="17" spans="1:16" ht="14.1" customHeight="1" x14ac:dyDescent="0.25">
      <c r="A17" s="15" t="s">
        <v>19</v>
      </c>
      <c r="B17" s="16" t="s">
        <v>20</v>
      </c>
      <c r="C17" s="31">
        <v>29681.599999999999</v>
      </c>
      <c r="D17" s="32">
        <v>0</v>
      </c>
      <c r="E17" s="31">
        <v>276033.15000000002</v>
      </c>
      <c r="F17" s="32">
        <v>564</v>
      </c>
      <c r="G17" s="31">
        <v>52291.199999999997</v>
      </c>
      <c r="H17" s="32">
        <v>0</v>
      </c>
      <c r="I17" s="31">
        <v>55124.4</v>
      </c>
      <c r="J17" s="32">
        <v>0</v>
      </c>
      <c r="K17" s="31">
        <v>32000.2</v>
      </c>
      <c r="L17" s="32">
        <v>0</v>
      </c>
      <c r="M17" s="31">
        <v>34864.699999999997</v>
      </c>
      <c r="N17" s="32">
        <v>4522.45</v>
      </c>
      <c r="O17" s="31">
        <v>67162.45</v>
      </c>
      <c r="P17" s="32">
        <v>30945.7</v>
      </c>
    </row>
    <row r="18" spans="1:16" ht="14.1" customHeight="1" x14ac:dyDescent="0.25">
      <c r="A18" s="15" t="s">
        <v>21</v>
      </c>
      <c r="B18" s="16" t="s">
        <v>22</v>
      </c>
      <c r="C18" s="31">
        <v>57170.75</v>
      </c>
      <c r="D18" s="32">
        <v>0</v>
      </c>
      <c r="E18" s="31">
        <v>529819.69999999995</v>
      </c>
      <c r="F18" s="32">
        <v>0</v>
      </c>
      <c r="G18" s="31">
        <v>140996.75</v>
      </c>
      <c r="H18" s="32">
        <v>0</v>
      </c>
      <c r="I18" s="31">
        <f>132669.6+640</f>
        <v>133309.6</v>
      </c>
      <c r="J18" s="32">
        <v>0</v>
      </c>
      <c r="K18" s="31">
        <v>53119.25</v>
      </c>
      <c r="L18" s="32">
        <v>0</v>
      </c>
      <c r="M18" s="31">
        <v>91367.95</v>
      </c>
      <c r="N18" s="32">
        <v>17331.349999999999</v>
      </c>
      <c r="O18" s="31">
        <v>179362.75</v>
      </c>
      <c r="P18" s="32">
        <v>250</v>
      </c>
    </row>
    <row r="19" spans="1:16" ht="14.1" customHeight="1" x14ac:dyDescent="0.25">
      <c r="A19" s="15" t="s">
        <v>23</v>
      </c>
      <c r="B19" s="16" t="s">
        <v>24</v>
      </c>
      <c r="C19" s="31">
        <v>54267.3</v>
      </c>
      <c r="D19" s="32">
        <v>0</v>
      </c>
      <c r="E19" s="31">
        <v>429582.6</v>
      </c>
      <c r="F19" s="32">
        <v>452.65</v>
      </c>
      <c r="G19" s="31">
        <v>112606.2</v>
      </c>
      <c r="H19" s="32">
        <v>0</v>
      </c>
      <c r="I19" s="31">
        <v>94345.5</v>
      </c>
      <c r="J19" s="32">
        <v>0</v>
      </c>
      <c r="K19" s="31">
        <v>49757.2</v>
      </c>
      <c r="L19" s="32">
        <v>0</v>
      </c>
      <c r="M19" s="31">
        <v>76228.05</v>
      </c>
      <c r="N19" s="32">
        <v>19478.349999999999</v>
      </c>
      <c r="O19" s="31">
        <v>89788.25</v>
      </c>
      <c r="P19" s="32">
        <v>1670</v>
      </c>
    </row>
    <row r="20" spans="1:16" ht="14.1" customHeight="1" x14ac:dyDescent="0.25">
      <c r="A20" s="15" t="s">
        <v>25</v>
      </c>
      <c r="B20" s="16" t="s">
        <v>26</v>
      </c>
      <c r="C20" s="31">
        <v>77121.3</v>
      </c>
      <c r="D20" s="32">
        <v>0</v>
      </c>
      <c r="E20" s="31">
        <v>723786.2</v>
      </c>
      <c r="F20" s="32">
        <v>0</v>
      </c>
      <c r="G20" s="31">
        <v>187774.55</v>
      </c>
      <c r="H20" s="32">
        <v>0</v>
      </c>
      <c r="I20" s="31">
        <v>145321.35</v>
      </c>
      <c r="J20" s="32">
        <v>0</v>
      </c>
      <c r="K20" s="31">
        <v>56682.75</v>
      </c>
      <c r="L20" s="32">
        <v>0</v>
      </c>
      <c r="M20" s="31">
        <v>96486.45</v>
      </c>
      <c r="N20" s="32">
        <v>0</v>
      </c>
      <c r="O20" s="31">
        <v>131725.04999999999</v>
      </c>
      <c r="P20" s="32">
        <v>0</v>
      </c>
    </row>
    <row r="21" spans="1:16" ht="14.1" customHeight="1" x14ac:dyDescent="0.25">
      <c r="A21" s="15" t="s">
        <v>27</v>
      </c>
      <c r="B21" s="16" t="s">
        <v>28</v>
      </c>
      <c r="C21" s="31">
        <v>34230.35</v>
      </c>
      <c r="D21" s="32">
        <v>0</v>
      </c>
      <c r="E21" s="31">
        <v>248177.75</v>
      </c>
      <c r="F21" s="32">
        <v>10891.4</v>
      </c>
      <c r="G21" s="31">
        <v>60525.9</v>
      </c>
      <c r="H21" s="32">
        <v>0</v>
      </c>
      <c r="I21" s="31">
        <v>49520.7</v>
      </c>
      <c r="J21" s="32">
        <v>0</v>
      </c>
      <c r="K21" s="31">
        <v>26341.45</v>
      </c>
      <c r="L21" s="32">
        <v>0</v>
      </c>
      <c r="M21" s="31">
        <v>34716</v>
      </c>
      <c r="N21" s="32">
        <v>0</v>
      </c>
      <c r="O21" s="31">
        <v>47969.85</v>
      </c>
      <c r="P21" s="32">
        <v>11500</v>
      </c>
    </row>
    <row r="22" spans="1:16" ht="14.1" customHeight="1" x14ac:dyDescent="0.25">
      <c r="A22" s="15" t="s">
        <v>29</v>
      </c>
      <c r="B22" s="16" t="s">
        <v>30</v>
      </c>
      <c r="C22" s="31">
        <v>202217</v>
      </c>
      <c r="D22" s="32">
        <v>15763.35</v>
      </c>
      <c r="E22" s="31">
        <v>1573381.5</v>
      </c>
      <c r="F22" s="32">
        <v>95272.7</v>
      </c>
      <c r="G22" s="31">
        <v>378138.6</v>
      </c>
      <c r="H22" s="32">
        <v>0</v>
      </c>
      <c r="I22" s="31">
        <f>259450.15+53001.85</f>
        <v>312452</v>
      </c>
      <c r="J22" s="32">
        <v>0</v>
      </c>
      <c r="K22" s="31">
        <v>163080.75</v>
      </c>
      <c r="L22" s="32">
        <v>0</v>
      </c>
      <c r="M22" s="31">
        <v>240831.1</v>
      </c>
      <c r="N22" s="32">
        <v>45765.5</v>
      </c>
      <c r="O22" s="31">
        <v>453038.3</v>
      </c>
      <c r="P22" s="32">
        <v>96289.25</v>
      </c>
    </row>
    <row r="23" spans="1:16" ht="14.1" customHeight="1" x14ac:dyDescent="0.25">
      <c r="A23" s="15" t="s">
        <v>32</v>
      </c>
      <c r="B23" s="16" t="s">
        <v>33</v>
      </c>
      <c r="C23" s="31">
        <v>12938.05</v>
      </c>
      <c r="D23" s="32">
        <v>0</v>
      </c>
      <c r="E23" s="31">
        <v>119667.4</v>
      </c>
      <c r="F23" s="32">
        <v>0</v>
      </c>
      <c r="G23" s="31">
        <v>27726.799999999999</v>
      </c>
      <c r="H23" s="32">
        <v>0</v>
      </c>
      <c r="I23" s="31">
        <v>22771.45</v>
      </c>
      <c r="J23" s="32">
        <v>0</v>
      </c>
      <c r="K23" s="31">
        <v>11851.85</v>
      </c>
      <c r="L23" s="32">
        <v>0</v>
      </c>
      <c r="M23" s="31">
        <v>13493.45</v>
      </c>
      <c r="N23" s="32">
        <v>0</v>
      </c>
      <c r="O23" s="31">
        <v>7097.3</v>
      </c>
      <c r="P23" s="32">
        <v>0</v>
      </c>
    </row>
    <row r="24" spans="1:16" ht="14.1" customHeight="1" x14ac:dyDescent="0.25">
      <c r="A24" s="15" t="s">
        <v>34</v>
      </c>
      <c r="B24" s="16" t="s">
        <v>35</v>
      </c>
      <c r="C24" s="31">
        <v>47186</v>
      </c>
      <c r="D24" s="32">
        <v>0</v>
      </c>
      <c r="E24" s="31">
        <v>398688.7</v>
      </c>
      <c r="F24" s="32">
        <v>0</v>
      </c>
      <c r="G24" s="31">
        <v>104305.15</v>
      </c>
      <c r="H24" s="32">
        <v>0</v>
      </c>
      <c r="I24" s="31">
        <v>85664.55</v>
      </c>
      <c r="J24" s="32">
        <v>0</v>
      </c>
      <c r="K24" s="31">
        <v>51791.75</v>
      </c>
      <c r="L24" s="32">
        <v>0</v>
      </c>
      <c r="M24" s="31">
        <v>75373.399999999994</v>
      </c>
      <c r="N24" s="32">
        <v>14983.95</v>
      </c>
      <c r="O24" s="31">
        <v>70495.95</v>
      </c>
      <c r="P24" s="32">
        <v>80</v>
      </c>
    </row>
    <row r="25" spans="1:16" ht="14.1" customHeight="1" x14ac:dyDescent="0.25">
      <c r="A25" s="15" t="s">
        <v>36</v>
      </c>
      <c r="B25" s="16" t="s">
        <v>37</v>
      </c>
      <c r="C25" s="31">
        <v>29512.400000000001</v>
      </c>
      <c r="D25" s="32">
        <v>0</v>
      </c>
      <c r="E25" s="31">
        <v>248421.8</v>
      </c>
      <c r="F25" s="32">
        <v>0</v>
      </c>
      <c r="G25" s="31">
        <v>68718.600000000006</v>
      </c>
      <c r="H25" s="32">
        <v>0</v>
      </c>
      <c r="I25" s="31">
        <v>55904.2</v>
      </c>
      <c r="J25" s="32">
        <v>0</v>
      </c>
      <c r="K25" s="31">
        <v>25592.7</v>
      </c>
      <c r="L25" s="32">
        <v>0</v>
      </c>
      <c r="M25" s="31">
        <v>24895.75</v>
      </c>
      <c r="N25" s="32">
        <v>0</v>
      </c>
      <c r="O25" s="31">
        <v>59842.5</v>
      </c>
      <c r="P25" s="32">
        <v>0</v>
      </c>
    </row>
    <row r="26" spans="1:16" ht="14.1" customHeight="1" x14ac:dyDescent="0.25">
      <c r="A26" s="15" t="s">
        <v>38</v>
      </c>
      <c r="B26" s="16" t="s">
        <v>39</v>
      </c>
      <c r="C26" s="31">
        <v>5327.4</v>
      </c>
      <c r="D26" s="32">
        <v>0</v>
      </c>
      <c r="E26" s="31">
        <v>42532.05</v>
      </c>
      <c r="F26" s="32">
        <v>2425.3000000000002</v>
      </c>
      <c r="G26" s="31">
        <v>11534.4</v>
      </c>
      <c r="H26" s="32">
        <v>0</v>
      </c>
      <c r="I26" s="31">
        <v>7996.75</v>
      </c>
      <c r="J26" s="32">
        <v>0</v>
      </c>
      <c r="K26" s="31">
        <v>4758</v>
      </c>
      <c r="L26" s="32">
        <v>0</v>
      </c>
      <c r="M26" s="31">
        <v>1651.05</v>
      </c>
      <c r="N26" s="32">
        <v>0</v>
      </c>
      <c r="O26" s="31">
        <v>18406.7</v>
      </c>
      <c r="P26" s="32">
        <v>12245</v>
      </c>
    </row>
    <row r="27" spans="1:16" ht="14.1" customHeight="1" x14ac:dyDescent="0.25">
      <c r="A27" s="15" t="s">
        <v>40</v>
      </c>
      <c r="B27" s="16" t="s">
        <v>41</v>
      </c>
      <c r="C27" s="31">
        <v>27060.15</v>
      </c>
      <c r="D27" s="32">
        <v>0</v>
      </c>
      <c r="E27" s="31">
        <v>245186.75</v>
      </c>
      <c r="F27" s="32">
        <v>0</v>
      </c>
      <c r="G27" s="31">
        <v>58629.3</v>
      </c>
      <c r="H27" s="32">
        <v>0</v>
      </c>
      <c r="I27" s="31">
        <v>48854.400000000001</v>
      </c>
      <c r="J27" s="32">
        <v>0</v>
      </c>
      <c r="K27" s="31">
        <v>25343.05</v>
      </c>
      <c r="L27" s="32">
        <v>0</v>
      </c>
      <c r="M27" s="31">
        <v>28317.200000000001</v>
      </c>
      <c r="N27" s="32">
        <v>4724.95</v>
      </c>
      <c r="O27" s="31">
        <v>62391.55</v>
      </c>
      <c r="P27" s="32">
        <v>3600</v>
      </c>
    </row>
    <row r="28" spans="1:16" ht="14.1" customHeight="1" x14ac:dyDescent="0.25">
      <c r="A28" s="15" t="s">
        <v>42</v>
      </c>
      <c r="B28" s="16" t="s">
        <v>43</v>
      </c>
      <c r="C28" s="31">
        <v>17758.2</v>
      </c>
      <c r="D28" s="32">
        <v>0</v>
      </c>
      <c r="E28" s="31">
        <v>159306.29999999999</v>
      </c>
      <c r="F28" s="32">
        <v>0</v>
      </c>
      <c r="G28" s="31">
        <v>37225.300000000003</v>
      </c>
      <c r="H28" s="32">
        <v>0</v>
      </c>
      <c r="I28" s="31">
        <v>32088.05</v>
      </c>
      <c r="J28" s="32">
        <v>0</v>
      </c>
      <c r="K28" s="31">
        <v>17656.150000000001</v>
      </c>
      <c r="L28" s="32">
        <v>0</v>
      </c>
      <c r="M28" s="31">
        <v>21482.400000000001</v>
      </c>
      <c r="N28" s="32">
        <v>0</v>
      </c>
      <c r="O28" s="31">
        <v>19228.599999999999</v>
      </c>
      <c r="P28" s="32">
        <v>3647.4</v>
      </c>
    </row>
    <row r="29" spans="1:16" ht="14.1" customHeight="1" x14ac:dyDescent="0.25">
      <c r="A29" s="15" t="s">
        <v>44</v>
      </c>
      <c r="B29" s="16" t="s">
        <v>45</v>
      </c>
      <c r="C29" s="31">
        <v>126205.5</v>
      </c>
      <c r="D29" s="32">
        <v>0</v>
      </c>
      <c r="E29" s="31">
        <v>975631.85</v>
      </c>
      <c r="F29" s="32">
        <v>13797.95</v>
      </c>
      <c r="G29" s="31">
        <v>270740.3</v>
      </c>
      <c r="H29" s="32">
        <v>0</v>
      </c>
      <c r="I29" s="31">
        <v>213574.1</v>
      </c>
      <c r="J29" s="32">
        <v>0</v>
      </c>
      <c r="K29" s="31">
        <v>139945.20000000001</v>
      </c>
      <c r="L29" s="32">
        <v>0</v>
      </c>
      <c r="M29" s="31">
        <v>128151.7</v>
      </c>
      <c r="N29" s="32">
        <v>0</v>
      </c>
      <c r="O29" s="31">
        <v>286896.84999999998</v>
      </c>
      <c r="P29" s="32">
        <v>71875</v>
      </c>
    </row>
    <row r="30" spans="1:16" ht="14.1" customHeight="1" x14ac:dyDescent="0.25">
      <c r="A30" s="15" t="s">
        <v>46</v>
      </c>
      <c r="B30" s="16" t="s">
        <v>47</v>
      </c>
      <c r="C30" s="31">
        <v>21184.35</v>
      </c>
      <c r="D30" s="32">
        <v>0</v>
      </c>
      <c r="E30" s="31">
        <v>200088.05</v>
      </c>
      <c r="F30" s="32">
        <v>8110.75</v>
      </c>
      <c r="G30" s="31">
        <v>48226.7</v>
      </c>
      <c r="H30" s="32">
        <v>0</v>
      </c>
      <c r="I30" s="31">
        <v>38117.949999999997</v>
      </c>
      <c r="J30" s="32">
        <v>0</v>
      </c>
      <c r="K30" s="31">
        <v>19735.2</v>
      </c>
      <c r="L30" s="32">
        <v>0</v>
      </c>
      <c r="M30" s="31">
        <v>20974.5</v>
      </c>
      <c r="N30" s="32">
        <v>0</v>
      </c>
      <c r="O30" s="31">
        <v>14325.1</v>
      </c>
      <c r="P30" s="32">
        <v>1638.9</v>
      </c>
    </row>
    <row r="31" spans="1:16" ht="14.1" customHeight="1" x14ac:dyDescent="0.25">
      <c r="A31" s="15" t="s">
        <v>48</v>
      </c>
      <c r="B31" s="16" t="s">
        <v>49</v>
      </c>
      <c r="C31" s="31">
        <v>35234.35</v>
      </c>
      <c r="D31" s="32">
        <v>0</v>
      </c>
      <c r="E31" s="31">
        <v>196503.9</v>
      </c>
      <c r="F31" s="32">
        <v>0</v>
      </c>
      <c r="G31" s="31">
        <v>55363.25</v>
      </c>
      <c r="H31" s="32">
        <v>0</v>
      </c>
      <c r="I31" s="31">
        <v>38587.5</v>
      </c>
      <c r="J31" s="32">
        <v>0</v>
      </c>
      <c r="K31" s="31">
        <v>39699.300000000003</v>
      </c>
      <c r="L31" s="32">
        <v>0</v>
      </c>
      <c r="M31" s="31">
        <v>30754.05</v>
      </c>
      <c r="N31" s="32">
        <v>38869.800000000003</v>
      </c>
      <c r="O31" s="31">
        <v>33302.199999999997</v>
      </c>
      <c r="P31" s="32">
        <v>819.05</v>
      </c>
    </row>
    <row r="32" spans="1:16" ht="14.1" customHeight="1" x14ac:dyDescent="0.25">
      <c r="A32" s="15" t="s">
        <v>50</v>
      </c>
      <c r="B32" s="16" t="s">
        <v>51</v>
      </c>
      <c r="C32" s="31">
        <v>27511.85</v>
      </c>
      <c r="D32" s="32">
        <v>0</v>
      </c>
      <c r="E32" s="31">
        <v>222968.4</v>
      </c>
      <c r="F32" s="32">
        <v>0</v>
      </c>
      <c r="G32" s="31">
        <v>61968.35</v>
      </c>
      <c r="H32" s="32">
        <v>0</v>
      </c>
      <c r="I32" s="31">
        <v>50200.4</v>
      </c>
      <c r="J32" s="32">
        <v>0</v>
      </c>
      <c r="K32" s="31">
        <v>28809.4</v>
      </c>
      <c r="L32" s="32">
        <v>0</v>
      </c>
      <c r="M32" s="31">
        <v>38034.300000000003</v>
      </c>
      <c r="N32" s="32">
        <v>2539.4</v>
      </c>
      <c r="O32" s="31">
        <v>21795.3</v>
      </c>
      <c r="P32" s="32">
        <v>51375.05</v>
      </c>
    </row>
    <row r="33" spans="1:16" ht="14.1" customHeight="1" x14ac:dyDescent="0.25">
      <c r="A33" s="15" t="s">
        <v>52</v>
      </c>
      <c r="B33" s="16" t="s">
        <v>53</v>
      </c>
      <c r="C33" s="31">
        <v>25707.15</v>
      </c>
      <c r="D33" s="32">
        <v>0</v>
      </c>
      <c r="E33" s="31">
        <v>237380.7</v>
      </c>
      <c r="F33" s="32">
        <v>21140.45</v>
      </c>
      <c r="G33" s="31">
        <v>62367</v>
      </c>
      <c r="H33" s="32">
        <v>0</v>
      </c>
      <c r="I33" s="31">
        <v>49093.85</v>
      </c>
      <c r="J33" s="32">
        <v>0</v>
      </c>
      <c r="K33" s="31">
        <v>17035.599999999999</v>
      </c>
      <c r="L33" s="32">
        <v>0</v>
      </c>
      <c r="M33" s="31">
        <v>44735.15</v>
      </c>
      <c r="N33" s="32">
        <v>497.1</v>
      </c>
      <c r="O33" s="31">
        <v>43431.25</v>
      </c>
      <c r="P33" s="32">
        <v>0</v>
      </c>
    </row>
    <row r="34" spans="1:16" ht="14.1" customHeight="1" x14ac:dyDescent="0.25">
      <c r="A34" s="15" t="s">
        <v>54</v>
      </c>
      <c r="B34" s="16" t="s">
        <v>55</v>
      </c>
      <c r="C34" s="31">
        <v>15305.95</v>
      </c>
      <c r="D34" s="32">
        <v>0</v>
      </c>
      <c r="E34" s="31">
        <v>151396</v>
      </c>
      <c r="F34" s="32">
        <v>0</v>
      </c>
      <c r="G34" s="31">
        <v>26218.45</v>
      </c>
      <c r="H34" s="32">
        <v>0</v>
      </c>
      <c r="I34" s="31">
        <v>27578.45</v>
      </c>
      <c r="J34" s="32">
        <v>0</v>
      </c>
      <c r="K34" s="31">
        <v>14549.95</v>
      </c>
      <c r="L34" s="32">
        <v>0</v>
      </c>
      <c r="M34" s="31">
        <v>19404</v>
      </c>
      <c r="N34" s="32">
        <v>0</v>
      </c>
      <c r="O34" s="31">
        <v>21607.5</v>
      </c>
      <c r="P34" s="32">
        <v>6383.7</v>
      </c>
    </row>
    <row r="35" spans="1:16" ht="14.1" customHeight="1" x14ac:dyDescent="0.25">
      <c r="A35" s="15">
        <v>2050</v>
      </c>
      <c r="B35" s="16" t="s">
        <v>31</v>
      </c>
      <c r="C35" s="31">
        <v>104266</v>
      </c>
      <c r="D35" s="32">
        <v>0</v>
      </c>
      <c r="E35" s="31">
        <v>857188.6</v>
      </c>
      <c r="F35" s="32">
        <v>5000</v>
      </c>
      <c r="G35" s="31">
        <v>232853.7</v>
      </c>
      <c r="H35" s="32">
        <v>0</v>
      </c>
      <c r="I35" s="31">
        <v>191605.25</v>
      </c>
      <c r="J35" s="32">
        <v>0</v>
      </c>
      <c r="K35" s="31">
        <v>120062.6</v>
      </c>
      <c r="L35" s="32">
        <v>0</v>
      </c>
      <c r="M35" s="31">
        <v>113145.15</v>
      </c>
      <c r="N35" s="32">
        <v>0</v>
      </c>
      <c r="O35" s="31">
        <v>200355.65</v>
      </c>
      <c r="P35" s="32">
        <v>5964.4</v>
      </c>
    </row>
    <row r="36" spans="1:16" ht="14.1" customHeight="1" x14ac:dyDescent="0.25">
      <c r="A36" s="15">
        <v>2051</v>
      </c>
      <c r="B36" s="16" t="s">
        <v>310</v>
      </c>
      <c r="C36" s="31">
        <v>73316</v>
      </c>
      <c r="D36" s="32">
        <v>0</v>
      </c>
      <c r="E36" s="31">
        <v>611139.1</v>
      </c>
      <c r="F36" s="32">
        <v>15736.7</v>
      </c>
      <c r="G36" s="31">
        <v>159495.85</v>
      </c>
      <c r="H36" s="32">
        <v>0</v>
      </c>
      <c r="I36" s="31">
        <v>138763.6</v>
      </c>
      <c r="J36" s="32">
        <v>0</v>
      </c>
      <c r="K36" s="31">
        <v>89799.7</v>
      </c>
      <c r="L36" s="32">
        <v>0</v>
      </c>
      <c r="M36" s="31">
        <v>114807.25</v>
      </c>
      <c r="N36" s="32">
        <v>21630.400000000001</v>
      </c>
      <c r="O36" s="31">
        <v>663139.9</v>
      </c>
      <c r="P36" s="32">
        <v>135285</v>
      </c>
    </row>
    <row r="37" spans="1:16" ht="13.5" customHeight="1" x14ac:dyDescent="0.25">
      <c r="A37" s="33">
        <v>2052</v>
      </c>
      <c r="B37" s="34" t="s">
        <v>311</v>
      </c>
      <c r="C37" s="35">
        <v>86338.6</v>
      </c>
      <c r="D37" s="36">
        <v>0</v>
      </c>
      <c r="E37" s="35">
        <v>716144.15</v>
      </c>
      <c r="F37" s="36">
        <v>0</v>
      </c>
      <c r="G37" s="35">
        <v>192647.3</v>
      </c>
      <c r="H37" s="36">
        <v>0</v>
      </c>
      <c r="I37" s="35">
        <v>155474.4</v>
      </c>
      <c r="J37" s="36">
        <v>0</v>
      </c>
      <c r="K37" s="35">
        <v>83053.95</v>
      </c>
      <c r="L37" s="36">
        <v>0</v>
      </c>
      <c r="M37" s="35">
        <v>99195.25</v>
      </c>
      <c r="N37" s="36">
        <v>18957.8</v>
      </c>
      <c r="O37" s="35">
        <v>54329.3</v>
      </c>
      <c r="P37" s="36">
        <v>0</v>
      </c>
    </row>
    <row r="38" spans="1:16" ht="14.1" customHeight="1" x14ac:dyDescent="0.25">
      <c r="A38" s="15" t="s">
        <v>56</v>
      </c>
      <c r="B38" s="16" t="s">
        <v>57</v>
      </c>
      <c r="C38" s="31">
        <v>12150.6</v>
      </c>
      <c r="D38" s="32">
        <v>0</v>
      </c>
      <c r="E38" s="31">
        <v>168827.56</v>
      </c>
      <c r="F38" s="32">
        <v>7732.8</v>
      </c>
      <c r="G38" s="31">
        <v>33011.75</v>
      </c>
      <c r="H38" s="32">
        <v>0</v>
      </c>
      <c r="I38" s="31">
        <v>33216.300000000003</v>
      </c>
      <c r="J38" s="32">
        <v>0</v>
      </c>
      <c r="K38" s="31">
        <v>28564.400000000001</v>
      </c>
      <c r="L38" s="32">
        <v>0</v>
      </c>
      <c r="M38" s="31">
        <v>18804.8</v>
      </c>
      <c r="N38" s="32">
        <v>21.2</v>
      </c>
      <c r="O38" s="31">
        <v>40824.35</v>
      </c>
      <c r="P38" s="32">
        <v>4340.6000000000004</v>
      </c>
    </row>
    <row r="39" spans="1:16" ht="14.1" customHeight="1" x14ac:dyDescent="0.25">
      <c r="A39" s="15" t="s">
        <v>58</v>
      </c>
      <c r="B39" s="16" t="s">
        <v>59</v>
      </c>
      <c r="C39" s="31">
        <v>77673.649999999994</v>
      </c>
      <c r="D39" s="32">
        <v>0</v>
      </c>
      <c r="E39" s="31">
        <v>551292.65</v>
      </c>
      <c r="F39" s="32">
        <v>28033.7</v>
      </c>
      <c r="G39" s="31">
        <v>113739</v>
      </c>
      <c r="H39" s="32">
        <v>0</v>
      </c>
      <c r="I39" s="31">
        <v>117469.7</v>
      </c>
      <c r="J39" s="32">
        <v>0</v>
      </c>
      <c r="K39" s="31">
        <v>52631.199999999997</v>
      </c>
      <c r="L39" s="32">
        <v>0</v>
      </c>
      <c r="M39" s="31">
        <v>51271.8</v>
      </c>
      <c r="N39" s="32">
        <v>4316</v>
      </c>
      <c r="O39" s="31">
        <v>50748.6</v>
      </c>
      <c r="P39" s="32">
        <v>3443.7</v>
      </c>
    </row>
    <row r="40" spans="1:16" ht="14.1" customHeight="1" x14ac:dyDescent="0.25">
      <c r="A40" s="15">
        <v>2064</v>
      </c>
      <c r="B40" s="16" t="s">
        <v>60</v>
      </c>
      <c r="C40" s="31">
        <v>20295.099999999999</v>
      </c>
      <c r="D40" s="32">
        <v>0</v>
      </c>
      <c r="E40" s="31">
        <v>211044.55</v>
      </c>
      <c r="F40" s="32">
        <v>6787.45</v>
      </c>
      <c r="G40" s="31">
        <v>45104.800000000003</v>
      </c>
      <c r="H40" s="32">
        <v>0</v>
      </c>
      <c r="I40" s="31">
        <v>48536.800000000003</v>
      </c>
      <c r="J40" s="32">
        <v>0</v>
      </c>
      <c r="K40" s="31">
        <v>33912.35</v>
      </c>
      <c r="L40" s="32">
        <v>0</v>
      </c>
      <c r="M40" s="31">
        <v>24164.1</v>
      </c>
      <c r="N40" s="32">
        <v>0</v>
      </c>
      <c r="O40" s="31">
        <v>36524.85</v>
      </c>
      <c r="P40" s="32">
        <v>0</v>
      </c>
    </row>
    <row r="41" spans="1:16" ht="14.1" customHeight="1" x14ac:dyDescent="0.25">
      <c r="A41" s="15" t="s">
        <v>61</v>
      </c>
      <c r="B41" s="16" t="s">
        <v>62</v>
      </c>
      <c r="C41" s="31">
        <v>31213.85</v>
      </c>
      <c r="D41" s="32">
        <v>0</v>
      </c>
      <c r="E41" s="31">
        <v>265356.40000000002</v>
      </c>
      <c r="F41" s="32">
        <v>6820</v>
      </c>
      <c r="G41" s="31">
        <v>59386.400000000001</v>
      </c>
      <c r="H41" s="32">
        <v>0</v>
      </c>
      <c r="I41" s="31">
        <v>64846.400000000001</v>
      </c>
      <c r="J41" s="32">
        <v>0</v>
      </c>
      <c r="K41" s="31">
        <v>31237.05</v>
      </c>
      <c r="L41" s="32">
        <v>0</v>
      </c>
      <c r="M41" s="31">
        <v>30623.05</v>
      </c>
      <c r="N41" s="32">
        <v>0</v>
      </c>
      <c r="O41" s="31">
        <v>36701.5</v>
      </c>
      <c r="P41" s="32">
        <v>0</v>
      </c>
    </row>
    <row r="42" spans="1:16" ht="14.1" customHeight="1" x14ac:dyDescent="0.25">
      <c r="A42" s="15" t="s">
        <v>63</v>
      </c>
      <c r="B42" s="16" t="s">
        <v>64</v>
      </c>
      <c r="C42" s="31">
        <v>59955.05</v>
      </c>
      <c r="D42" s="32">
        <v>0</v>
      </c>
      <c r="E42" s="31">
        <v>535799.30000000005</v>
      </c>
      <c r="F42" s="32">
        <v>0</v>
      </c>
      <c r="G42" s="31">
        <v>127758.7</v>
      </c>
      <c r="H42" s="32">
        <v>0</v>
      </c>
      <c r="I42" s="31">
        <f>130225.3+2349.2</f>
        <v>132574.5</v>
      </c>
      <c r="J42" s="32">
        <v>0</v>
      </c>
      <c r="K42" s="31">
        <v>65198.85</v>
      </c>
      <c r="L42" s="32">
        <v>0</v>
      </c>
      <c r="M42" s="31">
        <v>47724.3</v>
      </c>
      <c r="N42" s="32">
        <v>2399.15</v>
      </c>
      <c r="O42" s="31">
        <v>29198.1</v>
      </c>
      <c r="P42" s="32">
        <v>80.25</v>
      </c>
    </row>
    <row r="43" spans="1:16" ht="14.1" customHeight="1" x14ac:dyDescent="0.25">
      <c r="A43" s="15" t="s">
        <v>65</v>
      </c>
      <c r="B43" s="16" t="s">
        <v>66</v>
      </c>
      <c r="C43" s="31">
        <v>23423.9</v>
      </c>
      <c r="D43" s="32">
        <v>0</v>
      </c>
      <c r="E43" s="31">
        <v>229070.1</v>
      </c>
      <c r="F43" s="32">
        <v>4350</v>
      </c>
      <c r="G43" s="31">
        <v>47818.1</v>
      </c>
      <c r="H43" s="32">
        <v>0</v>
      </c>
      <c r="I43" s="31">
        <v>47222.55</v>
      </c>
      <c r="J43" s="32">
        <v>0</v>
      </c>
      <c r="K43" s="31">
        <v>26500.85</v>
      </c>
      <c r="L43" s="32">
        <v>0</v>
      </c>
      <c r="M43" s="31">
        <v>24078.3</v>
      </c>
      <c r="N43" s="32">
        <v>0</v>
      </c>
      <c r="O43" s="31">
        <v>25588.2</v>
      </c>
      <c r="P43" s="32">
        <v>0</v>
      </c>
    </row>
    <row r="44" spans="1:16" ht="14.1" customHeight="1" x14ac:dyDescent="0.25">
      <c r="A44" s="15" t="s">
        <v>67</v>
      </c>
      <c r="B44" s="16" t="s">
        <v>68</v>
      </c>
      <c r="C44" s="31">
        <v>13445.45</v>
      </c>
      <c r="D44" s="32">
        <v>0</v>
      </c>
      <c r="E44" s="31">
        <v>120583.85</v>
      </c>
      <c r="F44" s="32">
        <v>2630</v>
      </c>
      <c r="G44" s="31">
        <v>29926.85</v>
      </c>
      <c r="H44" s="32">
        <v>0</v>
      </c>
      <c r="I44" s="31">
        <v>30840.7</v>
      </c>
      <c r="J44" s="32">
        <v>245.7</v>
      </c>
      <c r="K44" s="31">
        <v>16573.099999999999</v>
      </c>
      <c r="L44" s="32">
        <v>0</v>
      </c>
      <c r="M44" s="31">
        <v>11769.8</v>
      </c>
      <c r="N44" s="32">
        <v>0</v>
      </c>
      <c r="O44" s="31">
        <v>16892</v>
      </c>
      <c r="P44" s="32">
        <v>7671.85</v>
      </c>
    </row>
    <row r="45" spans="1:16" ht="14.1" customHeight="1" x14ac:dyDescent="0.25">
      <c r="A45" s="15" t="s">
        <v>69</v>
      </c>
      <c r="B45" s="16" t="s">
        <v>70</v>
      </c>
      <c r="C45" s="31">
        <v>37006.6</v>
      </c>
      <c r="D45" s="32">
        <v>0</v>
      </c>
      <c r="E45" s="31">
        <v>309353.3</v>
      </c>
      <c r="F45" s="32">
        <v>4636.75</v>
      </c>
      <c r="G45" s="31">
        <v>74982.8</v>
      </c>
      <c r="H45" s="32">
        <v>0</v>
      </c>
      <c r="I45" s="31">
        <v>76614.3</v>
      </c>
      <c r="J45" s="32">
        <v>0</v>
      </c>
      <c r="K45" s="31">
        <v>41386.949999999997</v>
      </c>
      <c r="L45" s="32">
        <v>0</v>
      </c>
      <c r="M45" s="31">
        <v>34516.1</v>
      </c>
      <c r="N45" s="32">
        <v>2685</v>
      </c>
      <c r="O45" s="31">
        <v>36091.1</v>
      </c>
      <c r="P45" s="32">
        <v>626.29999999999995</v>
      </c>
    </row>
    <row r="46" spans="1:16" ht="14.1" customHeight="1" x14ac:dyDescent="0.25">
      <c r="A46" s="15" t="s">
        <v>71</v>
      </c>
      <c r="B46" s="16" t="s">
        <v>72</v>
      </c>
      <c r="C46" s="31">
        <v>84140.05</v>
      </c>
      <c r="D46" s="32">
        <v>0</v>
      </c>
      <c r="E46" s="31">
        <v>792606.1</v>
      </c>
      <c r="F46" s="32">
        <v>10629.15</v>
      </c>
      <c r="G46" s="31">
        <v>170957.65</v>
      </c>
      <c r="H46" s="32">
        <v>0</v>
      </c>
      <c r="I46" s="31">
        <v>175594</v>
      </c>
      <c r="J46" s="32">
        <v>0</v>
      </c>
      <c r="K46" s="31">
        <v>87424.25</v>
      </c>
      <c r="L46" s="32">
        <v>0</v>
      </c>
      <c r="M46" s="31">
        <v>75992.2</v>
      </c>
      <c r="N46" s="32">
        <v>11409.75</v>
      </c>
      <c r="O46" s="31">
        <v>72707.05</v>
      </c>
      <c r="P46" s="32">
        <v>11177.25</v>
      </c>
    </row>
    <row r="47" spans="1:16" ht="14.1" customHeight="1" x14ac:dyDescent="0.25">
      <c r="A47" s="15" t="s">
        <v>73</v>
      </c>
      <c r="B47" s="16" t="s">
        <v>74</v>
      </c>
      <c r="C47" s="31">
        <v>32297.4</v>
      </c>
      <c r="D47" s="32">
        <v>0</v>
      </c>
      <c r="E47" s="31">
        <v>270442.40000000002</v>
      </c>
      <c r="F47" s="32">
        <v>0</v>
      </c>
      <c r="G47" s="31">
        <v>63316.55</v>
      </c>
      <c r="H47" s="32">
        <v>0</v>
      </c>
      <c r="I47" s="31">
        <v>66848</v>
      </c>
      <c r="J47" s="32">
        <v>0</v>
      </c>
      <c r="K47" s="31">
        <v>41668.949999999997</v>
      </c>
      <c r="L47" s="32">
        <v>0</v>
      </c>
      <c r="M47" s="31">
        <v>34357.75</v>
      </c>
      <c r="N47" s="32">
        <v>0</v>
      </c>
      <c r="O47" s="31">
        <v>22251.4</v>
      </c>
      <c r="P47" s="32">
        <v>0</v>
      </c>
    </row>
    <row r="48" spans="1:16" ht="14.1" customHeight="1" x14ac:dyDescent="0.25">
      <c r="A48" s="15" t="s">
        <v>75</v>
      </c>
      <c r="B48" s="16" t="s">
        <v>76</v>
      </c>
      <c r="C48" s="31">
        <v>391288.35</v>
      </c>
      <c r="D48" s="32">
        <v>22498.55</v>
      </c>
      <c r="E48" s="31">
        <v>3939483.22</v>
      </c>
      <c r="F48" s="32">
        <v>142017.85</v>
      </c>
      <c r="G48" s="31">
        <v>889050.9</v>
      </c>
      <c r="H48" s="32">
        <v>0</v>
      </c>
      <c r="I48" s="31">
        <v>869488.75</v>
      </c>
      <c r="J48" s="32">
        <v>0</v>
      </c>
      <c r="K48" s="31">
        <v>521474.3</v>
      </c>
      <c r="L48" s="32">
        <v>0</v>
      </c>
      <c r="M48" s="31">
        <v>3487389.35</v>
      </c>
      <c r="N48" s="32">
        <v>1840989.04</v>
      </c>
      <c r="O48" s="31">
        <v>1380909.25</v>
      </c>
      <c r="P48" s="32">
        <v>306170.45</v>
      </c>
    </row>
    <row r="49" spans="1:16" ht="14.1" customHeight="1" x14ac:dyDescent="0.25">
      <c r="A49" s="15" t="s">
        <v>77</v>
      </c>
      <c r="B49" s="16" t="s">
        <v>78</v>
      </c>
      <c r="C49" s="31">
        <v>101644.4</v>
      </c>
      <c r="D49" s="32">
        <v>0</v>
      </c>
      <c r="E49" s="31">
        <v>926294.25</v>
      </c>
      <c r="F49" s="32">
        <v>35675.800000000003</v>
      </c>
      <c r="G49" s="31">
        <v>211013.35</v>
      </c>
      <c r="H49" s="32">
        <v>0</v>
      </c>
      <c r="I49" s="31">
        <v>217503.55</v>
      </c>
      <c r="J49" s="32">
        <v>0</v>
      </c>
      <c r="K49" s="31">
        <v>127439.25</v>
      </c>
      <c r="L49" s="32">
        <v>0</v>
      </c>
      <c r="M49" s="31">
        <v>561912.5</v>
      </c>
      <c r="N49" s="32">
        <v>458009.85</v>
      </c>
      <c r="O49" s="31">
        <v>182169.25</v>
      </c>
      <c r="P49" s="32">
        <v>0</v>
      </c>
    </row>
    <row r="50" spans="1:16" ht="14.1" customHeight="1" x14ac:dyDescent="0.25">
      <c r="A50" s="15" t="s">
        <v>79</v>
      </c>
      <c r="B50" s="16" t="s">
        <v>80</v>
      </c>
      <c r="C50" s="31">
        <v>173692.05</v>
      </c>
      <c r="D50" s="32">
        <v>0</v>
      </c>
      <c r="E50" s="31">
        <v>2411470.9700000002</v>
      </c>
      <c r="F50" s="32">
        <v>11531.4</v>
      </c>
      <c r="G50" s="31">
        <v>302926.05</v>
      </c>
      <c r="H50" s="32">
        <v>0</v>
      </c>
      <c r="I50" s="31">
        <v>518756.4</v>
      </c>
      <c r="J50" s="32">
        <v>0</v>
      </c>
      <c r="K50" s="31">
        <v>453754.85</v>
      </c>
      <c r="L50" s="32">
        <v>0</v>
      </c>
      <c r="M50" s="31">
        <v>222956.55</v>
      </c>
      <c r="N50" s="32">
        <v>51606.35</v>
      </c>
      <c r="O50" s="31">
        <v>235928.4</v>
      </c>
      <c r="P50" s="32">
        <v>10234.85</v>
      </c>
    </row>
    <row r="51" spans="1:16" ht="14.1" customHeight="1" x14ac:dyDescent="0.25">
      <c r="A51" s="15" t="s">
        <v>82</v>
      </c>
      <c r="B51" s="16" t="s">
        <v>83</v>
      </c>
      <c r="C51" s="31">
        <v>151802.5</v>
      </c>
      <c r="D51" s="32">
        <v>0</v>
      </c>
      <c r="E51" s="31">
        <v>1368744.6</v>
      </c>
      <c r="F51" s="32">
        <v>0</v>
      </c>
      <c r="G51" s="31">
        <v>319613.95</v>
      </c>
      <c r="H51" s="32">
        <v>0</v>
      </c>
      <c r="I51" s="31">
        <v>342551.5</v>
      </c>
      <c r="J51" s="32">
        <v>0</v>
      </c>
      <c r="K51" s="31">
        <v>220609.4</v>
      </c>
      <c r="L51" s="32">
        <v>0</v>
      </c>
      <c r="M51" s="31">
        <v>185781.5</v>
      </c>
      <c r="N51" s="32">
        <v>0</v>
      </c>
      <c r="O51" s="31">
        <v>171000.45</v>
      </c>
      <c r="P51" s="32">
        <v>11587.75</v>
      </c>
    </row>
    <row r="52" spans="1:16" ht="14.1" customHeight="1" x14ac:dyDescent="0.25">
      <c r="A52" s="15" t="s">
        <v>84</v>
      </c>
      <c r="B52" s="16" t="s">
        <v>85</v>
      </c>
      <c r="C52" s="31">
        <v>79066.25</v>
      </c>
      <c r="D52" s="32">
        <v>0</v>
      </c>
      <c r="E52" s="31">
        <v>809363.5</v>
      </c>
      <c r="F52" s="32">
        <v>55372</v>
      </c>
      <c r="G52" s="31">
        <v>176941.7</v>
      </c>
      <c r="H52" s="32">
        <v>0</v>
      </c>
      <c r="I52" s="31">
        <f>187504.2+1514.6</f>
        <v>189018.80000000002</v>
      </c>
      <c r="J52" s="32">
        <v>0</v>
      </c>
      <c r="K52" s="31">
        <v>99622.45</v>
      </c>
      <c r="L52" s="32">
        <v>0</v>
      </c>
      <c r="M52" s="31">
        <v>94478.45</v>
      </c>
      <c r="N52" s="32">
        <v>14656.8</v>
      </c>
      <c r="O52" s="31">
        <v>204971.6</v>
      </c>
      <c r="P52" s="32">
        <v>55179.199999999997</v>
      </c>
    </row>
    <row r="53" spans="1:16" ht="14.1" customHeight="1" x14ac:dyDescent="0.25">
      <c r="A53" s="15" t="s">
        <v>86</v>
      </c>
      <c r="B53" s="16" t="s">
        <v>87</v>
      </c>
      <c r="C53" s="31">
        <v>50991.45</v>
      </c>
      <c r="D53" s="32">
        <v>0</v>
      </c>
      <c r="E53" s="31">
        <v>434073.55</v>
      </c>
      <c r="F53" s="32">
        <v>11727.6</v>
      </c>
      <c r="G53" s="31">
        <v>101889.60000000001</v>
      </c>
      <c r="H53" s="32">
        <v>0</v>
      </c>
      <c r="I53" s="31">
        <v>101048.65</v>
      </c>
      <c r="J53" s="32">
        <v>0</v>
      </c>
      <c r="K53" s="31">
        <v>49733.3</v>
      </c>
      <c r="L53" s="32">
        <v>0</v>
      </c>
      <c r="M53" s="31">
        <v>24518.95</v>
      </c>
      <c r="N53" s="32">
        <v>10384.6</v>
      </c>
      <c r="O53" s="31">
        <v>79416.3</v>
      </c>
      <c r="P53" s="32">
        <v>172.5</v>
      </c>
    </row>
    <row r="54" spans="1:16" ht="14.1" customHeight="1" x14ac:dyDescent="0.25">
      <c r="A54" s="15" t="s">
        <v>88</v>
      </c>
      <c r="B54" s="16" t="s">
        <v>89</v>
      </c>
      <c r="C54" s="31">
        <v>165235.75</v>
      </c>
      <c r="D54" s="32">
        <v>0</v>
      </c>
      <c r="E54" s="31">
        <v>1456538.55</v>
      </c>
      <c r="F54" s="32">
        <v>0</v>
      </c>
      <c r="G54" s="31">
        <v>335218.3</v>
      </c>
      <c r="H54" s="32">
        <v>0</v>
      </c>
      <c r="I54" s="31">
        <v>345095.9</v>
      </c>
      <c r="J54" s="32">
        <v>0</v>
      </c>
      <c r="K54" s="31">
        <v>172576.65</v>
      </c>
      <c r="L54" s="32">
        <v>0</v>
      </c>
      <c r="M54" s="31">
        <v>199438.55</v>
      </c>
      <c r="N54" s="32">
        <v>20115.55</v>
      </c>
      <c r="O54" s="31">
        <v>327458.90000000002</v>
      </c>
      <c r="P54" s="32">
        <v>10430.65</v>
      </c>
    </row>
    <row r="55" spans="1:16" ht="14.1" customHeight="1" x14ac:dyDescent="0.25">
      <c r="A55" s="15">
        <v>2114</v>
      </c>
      <c r="B55" s="16" t="s">
        <v>90</v>
      </c>
      <c r="C55" s="31">
        <v>105111.55</v>
      </c>
      <c r="D55" s="32">
        <v>0</v>
      </c>
      <c r="E55" s="31">
        <v>880481.6</v>
      </c>
      <c r="F55" s="32">
        <v>4400</v>
      </c>
      <c r="G55" s="31">
        <v>215372.3</v>
      </c>
      <c r="H55" s="32">
        <v>0</v>
      </c>
      <c r="I55" s="31">
        <v>220820.2</v>
      </c>
      <c r="J55" s="32">
        <v>0</v>
      </c>
      <c r="K55" s="31">
        <v>122407.45</v>
      </c>
      <c r="L55" s="32">
        <v>0</v>
      </c>
      <c r="M55" s="31">
        <v>107152.95</v>
      </c>
      <c r="N55" s="32">
        <v>14648.85</v>
      </c>
      <c r="O55" s="31">
        <v>225151.9</v>
      </c>
      <c r="P55" s="32">
        <v>0</v>
      </c>
    </row>
    <row r="56" spans="1:16" ht="14.1" customHeight="1" x14ac:dyDescent="0.25">
      <c r="A56" s="15">
        <v>2115</v>
      </c>
      <c r="B56" s="16" t="s">
        <v>81</v>
      </c>
      <c r="C56" s="31">
        <v>66212.600000000006</v>
      </c>
      <c r="D56" s="32">
        <v>0</v>
      </c>
      <c r="E56" s="31">
        <v>664175</v>
      </c>
      <c r="F56" s="32">
        <v>81412.95</v>
      </c>
      <c r="G56" s="31">
        <v>27752.3</v>
      </c>
      <c r="H56" s="32">
        <v>0</v>
      </c>
      <c r="I56" s="31">
        <v>143976.25</v>
      </c>
      <c r="J56" s="32">
        <v>0</v>
      </c>
      <c r="K56" s="31">
        <v>64919.6</v>
      </c>
      <c r="L56" s="32">
        <v>0</v>
      </c>
      <c r="M56" s="31">
        <v>64449.5</v>
      </c>
      <c r="N56" s="32">
        <v>13117.6</v>
      </c>
      <c r="O56" s="31">
        <v>85151.65</v>
      </c>
      <c r="P56" s="32">
        <v>0</v>
      </c>
    </row>
    <row r="57" spans="1:16" ht="14.1" customHeight="1" x14ac:dyDescent="0.25">
      <c r="A57" s="33">
        <v>2116</v>
      </c>
      <c r="B57" s="34" t="s">
        <v>307</v>
      </c>
      <c r="C57" s="35">
        <v>73062.3</v>
      </c>
      <c r="D57" s="36">
        <v>0</v>
      </c>
      <c r="E57" s="35">
        <v>680450.95</v>
      </c>
      <c r="F57" s="36">
        <v>10672.15</v>
      </c>
      <c r="G57" s="35">
        <v>151610.35</v>
      </c>
      <c r="H57" s="36">
        <v>0</v>
      </c>
      <c r="I57" s="35">
        <v>158464.5</v>
      </c>
      <c r="J57" s="36">
        <v>0</v>
      </c>
      <c r="K57" s="35">
        <v>94411.35</v>
      </c>
      <c r="L57" s="36">
        <v>0</v>
      </c>
      <c r="M57" s="35">
        <v>98726.9</v>
      </c>
      <c r="N57" s="36">
        <v>6206.7</v>
      </c>
      <c r="O57" s="35">
        <v>112757</v>
      </c>
      <c r="P57" s="36">
        <v>14750</v>
      </c>
    </row>
    <row r="58" spans="1:16" ht="14.1" customHeight="1" x14ac:dyDescent="0.25">
      <c r="A58" s="15" t="s">
        <v>91</v>
      </c>
      <c r="B58" s="16" t="s">
        <v>92</v>
      </c>
      <c r="C58" s="31">
        <v>142655</v>
      </c>
      <c r="D58" s="32">
        <v>16104.6</v>
      </c>
      <c r="E58" s="31">
        <v>1020167.35</v>
      </c>
      <c r="F58" s="32">
        <v>123261.91</v>
      </c>
      <c r="G58" s="31">
        <v>239334.9</v>
      </c>
      <c r="H58" s="32">
        <v>0</v>
      </c>
      <c r="I58" s="31">
        <v>345144.95</v>
      </c>
      <c r="J58" s="32">
        <v>0</v>
      </c>
      <c r="K58" s="31">
        <v>131356.5</v>
      </c>
      <c r="L58" s="32">
        <v>0</v>
      </c>
      <c r="M58" s="31">
        <v>188890.3</v>
      </c>
      <c r="N58" s="32">
        <v>20523.7</v>
      </c>
      <c r="O58" s="31">
        <v>390135.4</v>
      </c>
      <c r="P58" s="32">
        <v>33431.9</v>
      </c>
    </row>
    <row r="59" spans="1:16" ht="14.1" customHeight="1" x14ac:dyDescent="0.25">
      <c r="A59" s="15">
        <v>2122</v>
      </c>
      <c r="B59" s="16" t="s">
        <v>93</v>
      </c>
      <c r="C59" s="31">
        <v>151765.70000000001</v>
      </c>
      <c r="D59" s="32">
        <v>27337.4</v>
      </c>
      <c r="E59" s="31">
        <v>1289874.25</v>
      </c>
      <c r="F59" s="32">
        <v>83764.800000000003</v>
      </c>
      <c r="G59" s="31">
        <v>274397.5</v>
      </c>
      <c r="H59" s="32">
        <v>0</v>
      </c>
      <c r="I59" s="31">
        <f>240374.55+7407.1</f>
        <v>247781.65</v>
      </c>
      <c r="J59" s="32">
        <v>0</v>
      </c>
      <c r="K59" s="31">
        <v>47848.5</v>
      </c>
      <c r="L59" s="32">
        <v>0</v>
      </c>
      <c r="M59" s="31">
        <v>304246.90000000002</v>
      </c>
      <c r="N59" s="32">
        <v>11334.35</v>
      </c>
      <c r="O59" s="31">
        <v>368187.65</v>
      </c>
      <c r="P59" s="32">
        <v>14168.8</v>
      </c>
    </row>
    <row r="60" spans="1:16" ht="14.1" customHeight="1" x14ac:dyDescent="0.25">
      <c r="A60" s="15" t="s">
        <v>94</v>
      </c>
      <c r="B60" s="16" t="s">
        <v>95</v>
      </c>
      <c r="C60" s="31">
        <v>39744.550000000003</v>
      </c>
      <c r="D60" s="32">
        <v>0</v>
      </c>
      <c r="E60" s="31">
        <v>378167.3</v>
      </c>
      <c r="F60" s="32">
        <v>19824</v>
      </c>
      <c r="G60" s="31">
        <v>81677.5</v>
      </c>
      <c r="H60" s="32">
        <v>0</v>
      </c>
      <c r="I60" s="31">
        <v>61308.4</v>
      </c>
      <c r="J60" s="32">
        <v>0</v>
      </c>
      <c r="K60" s="31">
        <v>44585</v>
      </c>
      <c r="L60" s="32">
        <v>0</v>
      </c>
      <c r="M60" s="31">
        <v>76171.899999999994</v>
      </c>
      <c r="N60" s="32">
        <v>0</v>
      </c>
      <c r="O60" s="31">
        <v>154127.54999999999</v>
      </c>
      <c r="P60" s="32">
        <v>475</v>
      </c>
    </row>
    <row r="61" spans="1:16" ht="14.1" customHeight="1" x14ac:dyDescent="0.25">
      <c r="A61" s="15" t="s">
        <v>96</v>
      </c>
      <c r="B61" s="16" t="s">
        <v>97</v>
      </c>
      <c r="C61" s="31">
        <v>187475.8</v>
      </c>
      <c r="D61" s="32">
        <v>0</v>
      </c>
      <c r="E61" s="31">
        <v>1670688.65</v>
      </c>
      <c r="F61" s="32">
        <v>88928.8</v>
      </c>
      <c r="G61" s="31">
        <v>389707.15</v>
      </c>
      <c r="H61" s="32">
        <v>0</v>
      </c>
      <c r="I61" s="31">
        <v>436690.3</v>
      </c>
      <c r="J61" s="32">
        <v>0</v>
      </c>
      <c r="K61" s="31">
        <v>223267.5</v>
      </c>
      <c r="L61" s="32">
        <v>0</v>
      </c>
      <c r="M61" s="31">
        <v>271033.90000000002</v>
      </c>
      <c r="N61" s="32">
        <v>500</v>
      </c>
      <c r="O61" s="31">
        <v>640497.98</v>
      </c>
      <c r="P61" s="32">
        <v>114974.2</v>
      </c>
    </row>
    <row r="62" spans="1:16" ht="14.1" customHeight="1" x14ac:dyDescent="0.25">
      <c r="A62" s="15" t="s">
        <v>98</v>
      </c>
      <c r="B62" s="16" t="s">
        <v>99</v>
      </c>
      <c r="C62" s="31">
        <v>1554761.65</v>
      </c>
      <c r="D62" s="32">
        <v>20076.95</v>
      </c>
      <c r="E62" s="31">
        <v>17357511.059999999</v>
      </c>
      <c r="F62" s="32">
        <v>610220.80000000005</v>
      </c>
      <c r="G62" s="31">
        <v>3234805.5</v>
      </c>
      <c r="H62" s="32">
        <v>0</v>
      </c>
      <c r="I62" s="31">
        <f>3476577.7+86.08</f>
        <v>3476663.7800000003</v>
      </c>
      <c r="J62" s="32">
        <v>0</v>
      </c>
      <c r="K62" s="31">
        <v>2041955</v>
      </c>
      <c r="L62" s="32">
        <v>0</v>
      </c>
      <c r="M62" s="31">
        <v>2191909.2000000002</v>
      </c>
      <c r="N62" s="32">
        <v>15024.2</v>
      </c>
      <c r="O62" s="31">
        <v>9141984</v>
      </c>
      <c r="P62" s="32">
        <v>6932760.7699999996</v>
      </c>
    </row>
    <row r="63" spans="1:16" ht="14.1" customHeight="1" x14ac:dyDescent="0.25">
      <c r="A63" s="15" t="s">
        <v>100</v>
      </c>
      <c r="B63" s="16" t="s">
        <v>101</v>
      </c>
      <c r="C63" s="31">
        <v>38294.1</v>
      </c>
      <c r="D63" s="32">
        <v>200</v>
      </c>
      <c r="E63" s="31">
        <v>211784.4</v>
      </c>
      <c r="F63" s="32">
        <v>798.35</v>
      </c>
      <c r="G63" s="31">
        <v>55908.05</v>
      </c>
      <c r="H63" s="32">
        <v>0</v>
      </c>
      <c r="I63" s="31">
        <v>105877.15</v>
      </c>
      <c r="J63" s="32">
        <v>0</v>
      </c>
      <c r="K63" s="31">
        <v>29681.5</v>
      </c>
      <c r="L63" s="32">
        <v>0</v>
      </c>
      <c r="M63" s="31">
        <v>45558.55</v>
      </c>
      <c r="N63" s="32">
        <v>4135.05</v>
      </c>
      <c r="O63" s="31">
        <v>127940.8</v>
      </c>
      <c r="P63" s="32">
        <v>7491.15</v>
      </c>
    </row>
    <row r="64" spans="1:16" ht="14.1" customHeight="1" x14ac:dyDescent="0.25">
      <c r="A64" s="15" t="s">
        <v>102</v>
      </c>
      <c r="B64" s="16" t="s">
        <v>103</v>
      </c>
      <c r="C64" s="31">
        <v>157172.04999999999</v>
      </c>
      <c r="D64" s="32">
        <v>0</v>
      </c>
      <c r="E64" s="31">
        <v>1319359.3999999999</v>
      </c>
      <c r="F64" s="32">
        <v>4788</v>
      </c>
      <c r="G64" s="31">
        <v>314383.15000000002</v>
      </c>
      <c r="H64" s="32">
        <v>0</v>
      </c>
      <c r="I64" s="31">
        <f>264441.35+98465.7</f>
        <v>362907.05</v>
      </c>
      <c r="J64" s="32">
        <v>0</v>
      </c>
      <c r="K64" s="31">
        <v>181980.5</v>
      </c>
      <c r="L64" s="32">
        <v>0</v>
      </c>
      <c r="M64" s="31">
        <v>256630.9</v>
      </c>
      <c r="N64" s="32">
        <v>33415.449999999997</v>
      </c>
      <c r="O64" s="31">
        <v>564433.85</v>
      </c>
      <c r="P64" s="32">
        <v>115815.45</v>
      </c>
    </row>
    <row r="65" spans="1:16" ht="14.1" customHeight="1" x14ac:dyDescent="0.25">
      <c r="A65" s="15" t="s">
        <v>104</v>
      </c>
      <c r="B65" s="16" t="s">
        <v>105</v>
      </c>
      <c r="C65" s="31">
        <v>21140.75</v>
      </c>
      <c r="D65" s="32">
        <v>0</v>
      </c>
      <c r="E65" s="31">
        <f>225406.5+38754.35+50</f>
        <v>264210.84999999998</v>
      </c>
      <c r="F65" s="32">
        <f>36823.95+36251.95+572</f>
        <v>73647.899999999994</v>
      </c>
      <c r="G65" s="31">
        <v>42630.75</v>
      </c>
      <c r="H65" s="32">
        <v>0</v>
      </c>
      <c r="I65" s="31">
        <f>37077.4+230</f>
        <v>37307.4</v>
      </c>
      <c r="J65" s="32">
        <v>0</v>
      </c>
      <c r="K65" s="31">
        <v>26540</v>
      </c>
      <c r="L65" s="32">
        <v>0</v>
      </c>
      <c r="M65" s="31">
        <v>31265.75</v>
      </c>
      <c r="N65" s="32">
        <v>2524</v>
      </c>
      <c r="O65" s="31">
        <v>92086.2</v>
      </c>
      <c r="P65" s="32">
        <v>1435</v>
      </c>
    </row>
    <row r="66" spans="1:16" ht="14.1" customHeight="1" x14ac:dyDescent="0.25">
      <c r="A66" s="15" t="s">
        <v>106</v>
      </c>
      <c r="B66" s="16" t="s">
        <v>107</v>
      </c>
      <c r="C66" s="31">
        <v>56572.5</v>
      </c>
      <c r="D66" s="32">
        <v>0</v>
      </c>
      <c r="E66" s="31">
        <v>474172.2</v>
      </c>
      <c r="F66" s="32">
        <v>17249.55</v>
      </c>
      <c r="G66" s="31">
        <v>115137.45</v>
      </c>
      <c r="H66" s="32">
        <v>0</v>
      </c>
      <c r="I66" s="31">
        <f>87202.65+20919.55</f>
        <v>108122.2</v>
      </c>
      <c r="J66" s="32">
        <v>0</v>
      </c>
      <c r="K66" s="31">
        <v>66954.5</v>
      </c>
      <c r="L66" s="32">
        <v>0</v>
      </c>
      <c r="M66" s="31">
        <v>82400.800000000003</v>
      </c>
      <c r="N66" s="32">
        <v>9294.35</v>
      </c>
      <c r="O66" s="31">
        <v>207644.05</v>
      </c>
      <c r="P66" s="32">
        <v>91138.2</v>
      </c>
    </row>
    <row r="67" spans="1:16" ht="14.1" customHeight="1" x14ac:dyDescent="0.25">
      <c r="A67" s="15" t="s">
        <v>108</v>
      </c>
      <c r="B67" s="16" t="s">
        <v>109</v>
      </c>
      <c r="C67" s="31">
        <v>23977.45</v>
      </c>
      <c r="D67" s="32">
        <v>0</v>
      </c>
      <c r="E67" s="31">
        <v>216244.8</v>
      </c>
      <c r="F67" s="32">
        <v>197.15</v>
      </c>
      <c r="G67" s="31">
        <v>50554.25</v>
      </c>
      <c r="H67" s="32">
        <v>0</v>
      </c>
      <c r="I67" s="31">
        <v>43282.6</v>
      </c>
      <c r="J67" s="32">
        <v>0</v>
      </c>
      <c r="K67" s="31">
        <v>33916</v>
      </c>
      <c r="L67" s="32">
        <v>0</v>
      </c>
      <c r="M67" s="31">
        <v>33548.9</v>
      </c>
      <c r="N67" s="32">
        <v>1994.8</v>
      </c>
      <c r="O67" s="31">
        <v>124251.45</v>
      </c>
      <c r="P67" s="32">
        <v>3502.1</v>
      </c>
    </row>
    <row r="68" spans="1:16" ht="14.1" customHeight="1" x14ac:dyDescent="0.25">
      <c r="A68" s="15" t="s">
        <v>110</v>
      </c>
      <c r="B68" s="16" t="s">
        <v>111</v>
      </c>
      <c r="C68" s="31">
        <v>64406.55</v>
      </c>
      <c r="D68" s="32">
        <v>0</v>
      </c>
      <c r="E68" s="31">
        <v>625035.44999999995</v>
      </c>
      <c r="F68" s="32">
        <v>6861.25</v>
      </c>
      <c r="G68" s="31">
        <v>124759.55</v>
      </c>
      <c r="H68" s="32">
        <v>0</v>
      </c>
      <c r="I68" s="31">
        <f>90883.7+13629.7</f>
        <v>104513.4</v>
      </c>
      <c r="J68" s="32">
        <v>0</v>
      </c>
      <c r="K68" s="31">
        <v>71966.5</v>
      </c>
      <c r="L68" s="32">
        <v>0</v>
      </c>
      <c r="M68" s="31">
        <v>83629.2</v>
      </c>
      <c r="N68" s="32">
        <v>905.9</v>
      </c>
      <c r="O68" s="31">
        <v>75853.399999999994</v>
      </c>
      <c r="P68" s="32">
        <v>679.5</v>
      </c>
    </row>
    <row r="69" spans="1:16" ht="14.1" customHeight="1" x14ac:dyDescent="0.25">
      <c r="A69" s="15" t="s">
        <v>113</v>
      </c>
      <c r="B69" s="16" t="s">
        <v>114</v>
      </c>
      <c r="C69" s="31">
        <v>59186.55</v>
      </c>
      <c r="D69" s="32">
        <v>0</v>
      </c>
      <c r="E69" s="31">
        <v>438316.1</v>
      </c>
      <c r="F69" s="32">
        <v>0</v>
      </c>
      <c r="G69" s="31">
        <v>118056.4</v>
      </c>
      <c r="H69" s="32">
        <v>0</v>
      </c>
      <c r="I69" s="31">
        <f>88852.8+78090.2</f>
        <v>166943</v>
      </c>
      <c r="J69" s="32">
        <v>0</v>
      </c>
      <c r="K69" s="31">
        <v>66289</v>
      </c>
      <c r="L69" s="32">
        <v>0</v>
      </c>
      <c r="M69" s="31">
        <v>93672.9</v>
      </c>
      <c r="N69" s="32">
        <v>11905.4</v>
      </c>
      <c r="O69" s="31">
        <v>149591.15</v>
      </c>
      <c r="P69" s="32">
        <v>45744.65</v>
      </c>
    </row>
    <row r="70" spans="1:16" ht="14.1" customHeight="1" x14ac:dyDescent="0.25">
      <c r="A70" s="15" t="s">
        <v>115</v>
      </c>
      <c r="B70" s="16" t="s">
        <v>116</v>
      </c>
      <c r="C70" s="31">
        <v>151959.35</v>
      </c>
      <c r="D70" s="32">
        <v>0</v>
      </c>
      <c r="E70" s="31">
        <v>1295736</v>
      </c>
      <c r="F70" s="32">
        <v>12397.4</v>
      </c>
      <c r="G70" s="31">
        <v>304873.15000000002</v>
      </c>
      <c r="H70" s="32">
        <v>0</v>
      </c>
      <c r="I70" s="31">
        <f>253477.45+3809521.99</f>
        <v>4062999.4400000004</v>
      </c>
      <c r="J70" s="32">
        <v>3693900.81</v>
      </c>
      <c r="K70" s="31">
        <v>175745.5</v>
      </c>
      <c r="L70" s="32">
        <v>0</v>
      </c>
      <c r="M70" s="31">
        <v>242791.65</v>
      </c>
      <c r="N70" s="32">
        <v>41677.300000000003</v>
      </c>
      <c r="O70" s="31">
        <v>667932.81999999995</v>
      </c>
      <c r="P70" s="32">
        <v>69920.100000000006</v>
      </c>
    </row>
    <row r="71" spans="1:16" ht="14.1" customHeight="1" x14ac:dyDescent="0.25">
      <c r="A71" s="15" t="s">
        <v>117</v>
      </c>
      <c r="B71" s="16" t="s">
        <v>118</v>
      </c>
      <c r="C71" s="31">
        <v>52203.25</v>
      </c>
      <c r="D71" s="32">
        <v>2707.8</v>
      </c>
      <c r="E71" s="31">
        <v>465160.7</v>
      </c>
      <c r="F71" s="32">
        <v>54857.599999999999</v>
      </c>
      <c r="G71" s="31">
        <v>96843.45</v>
      </c>
      <c r="H71" s="32">
        <v>0</v>
      </c>
      <c r="I71" s="31">
        <f>71463.05+25519</f>
        <v>96982.05</v>
      </c>
      <c r="J71" s="32">
        <v>0</v>
      </c>
      <c r="K71" s="31">
        <v>53758.5</v>
      </c>
      <c r="L71" s="32">
        <v>0</v>
      </c>
      <c r="M71" s="31">
        <v>87896</v>
      </c>
      <c r="N71" s="32">
        <v>37344.65</v>
      </c>
      <c r="O71" s="31">
        <v>65299</v>
      </c>
      <c r="P71" s="32">
        <v>120</v>
      </c>
    </row>
    <row r="72" spans="1:16" ht="14.1" customHeight="1" x14ac:dyDescent="0.25">
      <c r="A72" s="15" t="s">
        <v>119</v>
      </c>
      <c r="B72" s="16" t="s">
        <v>120</v>
      </c>
      <c r="C72" s="31">
        <v>59193.95</v>
      </c>
      <c r="D72" s="32">
        <v>0</v>
      </c>
      <c r="E72" s="31">
        <v>440462.3</v>
      </c>
      <c r="F72" s="32">
        <v>16500</v>
      </c>
      <c r="G72" s="31">
        <v>115922.4</v>
      </c>
      <c r="H72" s="32">
        <v>391.4</v>
      </c>
      <c r="I72" s="31">
        <f>87075.75+38435.5</f>
        <v>125511.25</v>
      </c>
      <c r="J72" s="32">
        <v>0</v>
      </c>
      <c r="K72" s="31">
        <v>59511</v>
      </c>
      <c r="L72" s="32">
        <v>0</v>
      </c>
      <c r="M72" s="31">
        <v>80072.55</v>
      </c>
      <c r="N72" s="32">
        <v>2508.4499999999998</v>
      </c>
      <c r="O72" s="31">
        <v>270692.09999999998</v>
      </c>
      <c r="P72" s="32">
        <v>10643.4</v>
      </c>
    </row>
    <row r="73" spans="1:16" ht="14.1" customHeight="1" x14ac:dyDescent="0.25">
      <c r="A73" s="15" t="s">
        <v>121</v>
      </c>
      <c r="B73" s="16" t="s">
        <v>122</v>
      </c>
      <c r="C73" s="31">
        <v>130987.8</v>
      </c>
      <c r="D73" s="32">
        <v>0</v>
      </c>
      <c r="E73" s="31">
        <v>2050558.5</v>
      </c>
      <c r="F73" s="32">
        <v>623754</v>
      </c>
      <c r="G73" s="31">
        <v>270405.3</v>
      </c>
      <c r="H73" s="32">
        <v>0</v>
      </c>
      <c r="I73" s="31">
        <v>250237.8</v>
      </c>
      <c r="J73" s="32">
        <v>0</v>
      </c>
      <c r="K73" s="31">
        <v>156310.5</v>
      </c>
      <c r="L73" s="32">
        <v>0</v>
      </c>
      <c r="M73" s="31">
        <v>193685.5</v>
      </c>
      <c r="N73" s="32">
        <v>4371.8999999999996</v>
      </c>
      <c r="O73" s="31">
        <v>135581.85</v>
      </c>
      <c r="P73" s="32">
        <v>5177.5</v>
      </c>
    </row>
    <row r="74" spans="1:16" ht="14.1" customHeight="1" x14ac:dyDescent="0.25">
      <c r="A74" s="15" t="s">
        <v>123</v>
      </c>
      <c r="B74" s="16" t="s">
        <v>124</v>
      </c>
      <c r="C74" s="31">
        <v>72480.2</v>
      </c>
      <c r="D74" s="32">
        <v>31361.7</v>
      </c>
      <c r="E74" s="31">
        <v>532019.6</v>
      </c>
      <c r="F74" s="32">
        <v>43361.75</v>
      </c>
      <c r="G74" s="31">
        <v>102841.75</v>
      </c>
      <c r="H74" s="32">
        <v>0</v>
      </c>
      <c r="I74" s="31">
        <f>91078.4+2283.9</f>
        <v>93362.299999999988</v>
      </c>
      <c r="J74" s="32">
        <v>0</v>
      </c>
      <c r="K74" s="31">
        <v>61921</v>
      </c>
      <c r="L74" s="32">
        <v>0</v>
      </c>
      <c r="M74" s="31">
        <v>66901.399999999994</v>
      </c>
      <c r="N74" s="32">
        <v>0</v>
      </c>
      <c r="O74" s="31">
        <v>139070.91</v>
      </c>
      <c r="P74" s="32">
        <v>3682</v>
      </c>
    </row>
    <row r="75" spans="1:16" ht="14.1" customHeight="1" x14ac:dyDescent="0.25">
      <c r="A75" s="15" t="s">
        <v>125</v>
      </c>
      <c r="B75" s="16" t="s">
        <v>126</v>
      </c>
      <c r="C75" s="31">
        <v>100710.65</v>
      </c>
      <c r="D75" s="32">
        <v>1824.45</v>
      </c>
      <c r="E75" s="31">
        <v>779018.8</v>
      </c>
      <c r="F75" s="32">
        <v>18919.349999999999</v>
      </c>
      <c r="G75" s="31">
        <v>185893.3</v>
      </c>
      <c r="H75" s="32">
        <v>0</v>
      </c>
      <c r="I75" s="31">
        <v>188733.1</v>
      </c>
      <c r="J75" s="32">
        <v>0</v>
      </c>
      <c r="K75" s="31">
        <v>109438</v>
      </c>
      <c r="L75" s="32">
        <v>0</v>
      </c>
      <c r="M75" s="31">
        <v>123164.75</v>
      </c>
      <c r="N75" s="32">
        <v>0</v>
      </c>
      <c r="O75" s="31">
        <v>179792.56</v>
      </c>
      <c r="P75" s="32">
        <v>3922.5</v>
      </c>
    </row>
    <row r="76" spans="1:16" ht="14.1" customHeight="1" x14ac:dyDescent="0.25">
      <c r="A76" s="15" t="s">
        <v>127</v>
      </c>
      <c r="B76" s="16" t="s">
        <v>128</v>
      </c>
      <c r="C76" s="31">
        <v>48454.5</v>
      </c>
      <c r="D76" s="32">
        <v>0</v>
      </c>
      <c r="E76" s="31">
        <v>389920</v>
      </c>
      <c r="F76" s="32">
        <v>0</v>
      </c>
      <c r="G76" s="31">
        <v>99391.55</v>
      </c>
      <c r="H76" s="32">
        <v>0</v>
      </c>
      <c r="I76" s="31">
        <v>101664.85</v>
      </c>
      <c r="J76" s="32">
        <v>0</v>
      </c>
      <c r="K76" s="31">
        <v>57969</v>
      </c>
      <c r="L76" s="32">
        <v>0</v>
      </c>
      <c r="M76" s="31">
        <v>66947.350000000006</v>
      </c>
      <c r="N76" s="32">
        <v>2382.15</v>
      </c>
      <c r="O76" s="31">
        <v>63450.1</v>
      </c>
      <c r="P76" s="32">
        <v>0</v>
      </c>
    </row>
    <row r="77" spans="1:16" ht="14.1" customHeight="1" x14ac:dyDescent="0.25">
      <c r="A77" s="15" t="s">
        <v>129</v>
      </c>
      <c r="B77" s="16" t="s">
        <v>130</v>
      </c>
      <c r="C77" s="31">
        <v>190430.85</v>
      </c>
      <c r="D77" s="32">
        <v>3441.9</v>
      </c>
      <c r="E77" s="31">
        <v>1583323.3</v>
      </c>
      <c r="F77" s="32">
        <v>20573.349999999999</v>
      </c>
      <c r="G77" s="31">
        <v>369504.1</v>
      </c>
      <c r="H77" s="32">
        <v>0</v>
      </c>
      <c r="I77" s="31">
        <v>329235.8</v>
      </c>
      <c r="J77" s="32">
        <v>0</v>
      </c>
      <c r="K77" s="31">
        <v>215534.2</v>
      </c>
      <c r="L77" s="32">
        <v>0</v>
      </c>
      <c r="M77" s="31">
        <v>243458.9</v>
      </c>
      <c r="N77" s="32">
        <v>9761.7000000000007</v>
      </c>
      <c r="O77" s="31">
        <v>650408.73</v>
      </c>
      <c r="P77" s="32">
        <v>198664.4</v>
      </c>
    </row>
    <row r="78" spans="1:16" ht="14.1" customHeight="1" x14ac:dyDescent="0.25">
      <c r="A78" s="15" t="s">
        <v>131</v>
      </c>
      <c r="B78" s="16" t="s">
        <v>132</v>
      </c>
      <c r="C78" s="31">
        <v>123387.25</v>
      </c>
      <c r="D78" s="32">
        <v>0</v>
      </c>
      <c r="E78" s="31">
        <v>1028781.85</v>
      </c>
      <c r="F78" s="32">
        <v>24185.8</v>
      </c>
      <c r="G78" s="31">
        <v>239693.7</v>
      </c>
      <c r="H78" s="32">
        <v>1905</v>
      </c>
      <c r="I78" s="31">
        <v>205378.1</v>
      </c>
      <c r="J78" s="32">
        <v>26218.2</v>
      </c>
      <c r="K78" s="31">
        <v>149091.79999999999</v>
      </c>
      <c r="L78" s="32">
        <v>0</v>
      </c>
      <c r="M78" s="31">
        <v>201233.7</v>
      </c>
      <c r="N78" s="32">
        <v>28920.2</v>
      </c>
      <c r="O78" s="31">
        <v>337696.95</v>
      </c>
      <c r="P78" s="32">
        <v>116895.25</v>
      </c>
    </row>
    <row r="79" spans="1:16" ht="14.1" customHeight="1" x14ac:dyDescent="0.25">
      <c r="A79" s="15" t="s">
        <v>133</v>
      </c>
      <c r="B79" s="16" t="s">
        <v>134</v>
      </c>
      <c r="C79" s="31">
        <v>115259.2</v>
      </c>
      <c r="D79" s="32">
        <v>0</v>
      </c>
      <c r="E79" s="31">
        <v>951024.2</v>
      </c>
      <c r="F79" s="32">
        <v>14612.5</v>
      </c>
      <c r="G79" s="31">
        <v>244510.85</v>
      </c>
      <c r="H79" s="32">
        <v>0</v>
      </c>
      <c r="I79" s="31">
        <v>268066.7</v>
      </c>
      <c r="J79" s="32">
        <v>0</v>
      </c>
      <c r="K79" s="31">
        <v>129622.5</v>
      </c>
      <c r="L79" s="32">
        <v>0</v>
      </c>
      <c r="M79" s="31">
        <v>150938.65</v>
      </c>
      <c r="N79" s="32">
        <v>0</v>
      </c>
      <c r="O79" s="31">
        <v>330415.5</v>
      </c>
      <c r="P79" s="32">
        <v>94394.65</v>
      </c>
    </row>
    <row r="80" spans="1:16" ht="14.1" customHeight="1" x14ac:dyDescent="0.25">
      <c r="A80" s="15" t="s">
        <v>135</v>
      </c>
      <c r="B80" s="16" t="s">
        <v>136</v>
      </c>
      <c r="C80" s="31">
        <v>81619.95</v>
      </c>
      <c r="D80" s="32">
        <v>1440</v>
      </c>
      <c r="E80" s="31">
        <v>607480.44999999995</v>
      </c>
      <c r="F80" s="32">
        <v>3750</v>
      </c>
      <c r="G80" s="31">
        <v>160373.25</v>
      </c>
      <c r="H80" s="32">
        <v>645</v>
      </c>
      <c r="I80" s="31">
        <v>236066.15</v>
      </c>
      <c r="J80" s="32">
        <v>0</v>
      </c>
      <c r="K80" s="31">
        <v>89925.5</v>
      </c>
      <c r="L80" s="32">
        <v>0</v>
      </c>
      <c r="M80" s="31">
        <v>122831.05</v>
      </c>
      <c r="N80" s="32">
        <v>9416.2000000000007</v>
      </c>
      <c r="O80" s="31">
        <v>206994.9</v>
      </c>
      <c r="P80" s="32">
        <v>18390.400000000001</v>
      </c>
    </row>
    <row r="81" spans="1:16" ht="14.1" customHeight="1" x14ac:dyDescent="0.25">
      <c r="A81" s="15" t="s">
        <v>137</v>
      </c>
      <c r="B81" s="16" t="s">
        <v>138</v>
      </c>
      <c r="C81" s="31">
        <v>82871.5</v>
      </c>
      <c r="D81" s="32">
        <v>0</v>
      </c>
      <c r="E81" s="31">
        <v>650851.44999999995</v>
      </c>
      <c r="F81" s="32">
        <v>9750</v>
      </c>
      <c r="G81" s="31">
        <v>172443</v>
      </c>
      <c r="H81" s="32">
        <v>0</v>
      </c>
      <c r="I81" s="31">
        <v>160803.70000000001</v>
      </c>
      <c r="J81" s="32">
        <v>0</v>
      </c>
      <c r="K81" s="31">
        <v>93184</v>
      </c>
      <c r="L81" s="32">
        <v>0</v>
      </c>
      <c r="M81" s="31">
        <v>129844.8</v>
      </c>
      <c r="N81" s="32">
        <v>3494</v>
      </c>
      <c r="O81" s="31">
        <v>282603.59999999998</v>
      </c>
      <c r="P81" s="32">
        <v>118916.65</v>
      </c>
    </row>
    <row r="82" spans="1:16" ht="14.1" customHeight="1" x14ac:dyDescent="0.25">
      <c r="A82" s="15" t="s">
        <v>139</v>
      </c>
      <c r="B82" s="16" t="s">
        <v>140</v>
      </c>
      <c r="C82" s="31">
        <v>171821.6</v>
      </c>
      <c r="D82" s="32">
        <v>0</v>
      </c>
      <c r="E82" s="31">
        <v>1390829.2</v>
      </c>
      <c r="F82" s="32">
        <v>24486</v>
      </c>
      <c r="G82" s="31">
        <v>349626.65</v>
      </c>
      <c r="H82" s="32">
        <v>0</v>
      </c>
      <c r="I82" s="31">
        <f>345212.25+3250</f>
        <v>348462.25</v>
      </c>
      <c r="J82" s="32">
        <v>0</v>
      </c>
      <c r="K82" s="31">
        <v>0</v>
      </c>
      <c r="L82" s="32">
        <v>0</v>
      </c>
      <c r="M82" s="31">
        <v>398675.05</v>
      </c>
      <c r="N82" s="32">
        <v>0</v>
      </c>
      <c r="O82" s="31">
        <v>409320.75</v>
      </c>
      <c r="P82" s="32">
        <v>3399.65</v>
      </c>
    </row>
    <row r="83" spans="1:16" ht="14.1" customHeight="1" x14ac:dyDescent="0.25">
      <c r="A83" s="33">
        <v>2162</v>
      </c>
      <c r="B83" s="34" t="s">
        <v>112</v>
      </c>
      <c r="C83" s="35">
        <v>94445.8</v>
      </c>
      <c r="D83" s="36">
        <v>0</v>
      </c>
      <c r="E83" s="35">
        <v>704729.85</v>
      </c>
      <c r="F83" s="36">
        <v>0</v>
      </c>
      <c r="G83" s="35">
        <v>187119.55</v>
      </c>
      <c r="H83" s="36">
        <v>0</v>
      </c>
      <c r="I83" s="35">
        <v>270729.95</v>
      </c>
      <c r="J83" s="36">
        <v>0</v>
      </c>
      <c r="K83" s="35">
        <v>101526</v>
      </c>
      <c r="L83" s="36">
        <v>0</v>
      </c>
      <c r="M83" s="35">
        <v>133679.95000000001</v>
      </c>
      <c r="N83" s="36">
        <v>12025</v>
      </c>
      <c r="O83" s="35">
        <v>401050.6</v>
      </c>
      <c r="P83" s="36">
        <v>18814.650000000001</v>
      </c>
    </row>
    <row r="84" spans="1:16" ht="14.1" customHeight="1" x14ac:dyDescent="0.25">
      <c r="A84" s="15" t="s">
        <v>141</v>
      </c>
      <c r="B84" s="16" t="s">
        <v>142</v>
      </c>
      <c r="C84" s="31">
        <v>63083.8</v>
      </c>
      <c r="D84" s="32">
        <v>0</v>
      </c>
      <c r="E84" s="31">
        <v>562690.55000000005</v>
      </c>
      <c r="F84" s="32">
        <v>2550</v>
      </c>
      <c r="G84" s="31">
        <v>140003.75</v>
      </c>
      <c r="H84" s="32">
        <v>0</v>
      </c>
      <c r="I84" s="31">
        <v>151828.04999999999</v>
      </c>
      <c r="J84" s="32">
        <v>0</v>
      </c>
      <c r="K84" s="31">
        <v>50362.75</v>
      </c>
      <c r="L84" s="32">
        <v>0</v>
      </c>
      <c r="M84" s="31">
        <v>121838.7</v>
      </c>
      <c r="N84" s="32">
        <v>0</v>
      </c>
      <c r="O84" s="31">
        <v>219608.1</v>
      </c>
      <c r="P84" s="32">
        <v>1800.1</v>
      </c>
    </row>
    <row r="85" spans="1:16" ht="14.1" customHeight="1" x14ac:dyDescent="0.25">
      <c r="A85" s="15" t="s">
        <v>143</v>
      </c>
      <c r="B85" s="16" t="s">
        <v>144</v>
      </c>
      <c r="C85" s="31">
        <v>5834.85</v>
      </c>
      <c r="D85" s="32">
        <v>0</v>
      </c>
      <c r="E85" s="31">
        <v>78982.7</v>
      </c>
      <c r="F85" s="32">
        <v>22963.7</v>
      </c>
      <c r="G85" s="31">
        <v>10160.9</v>
      </c>
      <c r="H85" s="32">
        <v>0</v>
      </c>
      <c r="I85" s="31">
        <v>14542.55</v>
      </c>
      <c r="J85" s="32">
        <v>0</v>
      </c>
      <c r="K85" s="31">
        <v>3895.45</v>
      </c>
      <c r="L85" s="32">
        <v>0</v>
      </c>
      <c r="M85" s="31">
        <v>11007.6</v>
      </c>
      <c r="N85" s="32">
        <v>0</v>
      </c>
      <c r="O85" s="31">
        <v>5639</v>
      </c>
      <c r="P85" s="32">
        <v>0</v>
      </c>
    </row>
    <row r="86" spans="1:16" ht="14.1" customHeight="1" x14ac:dyDescent="0.25">
      <c r="A86" s="15" t="s">
        <v>145</v>
      </c>
      <c r="B86" s="16" t="s">
        <v>146</v>
      </c>
      <c r="C86" s="31">
        <v>60621.15</v>
      </c>
      <c r="D86" s="32">
        <v>0</v>
      </c>
      <c r="E86" s="31">
        <v>586098.5</v>
      </c>
      <c r="F86" s="32">
        <v>54615.95</v>
      </c>
      <c r="G86" s="31">
        <v>121529.4</v>
      </c>
      <c r="H86" s="32">
        <v>0</v>
      </c>
      <c r="I86" s="31">
        <v>133351.20000000001</v>
      </c>
      <c r="J86" s="32">
        <v>563.6</v>
      </c>
      <c r="K86" s="31">
        <v>46938</v>
      </c>
      <c r="L86" s="32">
        <v>0</v>
      </c>
      <c r="M86" s="31">
        <v>116541.95</v>
      </c>
      <c r="N86" s="32">
        <v>22004.400000000001</v>
      </c>
      <c r="O86" s="31">
        <v>190320.25</v>
      </c>
      <c r="P86" s="32">
        <v>18323.7</v>
      </c>
    </row>
    <row r="87" spans="1:16" ht="14.1" customHeight="1" x14ac:dyDescent="0.25">
      <c r="A87" s="15" t="s">
        <v>147</v>
      </c>
      <c r="B87" s="16" t="s">
        <v>148</v>
      </c>
      <c r="C87" s="31">
        <v>142911.15</v>
      </c>
      <c r="D87" s="32">
        <v>0</v>
      </c>
      <c r="E87" s="31">
        <v>1329578.8999999999</v>
      </c>
      <c r="F87" s="32">
        <v>7009.1</v>
      </c>
      <c r="G87" s="31">
        <v>313070.65000000002</v>
      </c>
      <c r="H87" s="32">
        <v>0</v>
      </c>
      <c r="I87" s="31">
        <v>351190.1</v>
      </c>
      <c r="J87" s="32">
        <v>0</v>
      </c>
      <c r="K87" s="31">
        <v>136100.15</v>
      </c>
      <c r="L87" s="32">
        <v>0</v>
      </c>
      <c r="M87" s="31">
        <v>238426.75</v>
      </c>
      <c r="N87" s="32">
        <v>4699.3999999999996</v>
      </c>
      <c r="O87" s="31">
        <v>326763.90000000002</v>
      </c>
      <c r="P87" s="32">
        <v>46496.75</v>
      </c>
    </row>
    <row r="88" spans="1:16" ht="14.1" customHeight="1" x14ac:dyDescent="0.25">
      <c r="A88" s="15" t="s">
        <v>149</v>
      </c>
      <c r="B88" s="16" t="s">
        <v>150</v>
      </c>
      <c r="C88" s="31">
        <v>225412</v>
      </c>
      <c r="D88" s="32">
        <v>0</v>
      </c>
      <c r="E88" s="31">
        <v>2142625.75</v>
      </c>
      <c r="F88" s="32">
        <v>122284.95</v>
      </c>
      <c r="G88" s="31">
        <v>481160.85</v>
      </c>
      <c r="H88" s="32">
        <v>0</v>
      </c>
      <c r="I88" s="31">
        <v>527652.69999999995</v>
      </c>
      <c r="J88" s="32">
        <v>0</v>
      </c>
      <c r="K88" s="31">
        <v>186826.05</v>
      </c>
      <c r="L88" s="32">
        <v>0</v>
      </c>
      <c r="M88" s="31">
        <v>572794.30000000005</v>
      </c>
      <c r="N88" s="32">
        <v>93798.6</v>
      </c>
      <c r="O88" s="31">
        <v>337419.1</v>
      </c>
      <c r="P88" s="32">
        <v>31533.3</v>
      </c>
    </row>
    <row r="89" spans="1:16" ht="14.1" customHeight="1" x14ac:dyDescent="0.25">
      <c r="A89" s="15" t="s">
        <v>151</v>
      </c>
      <c r="B89" s="16" t="s">
        <v>152</v>
      </c>
      <c r="C89" s="31">
        <v>55866.2</v>
      </c>
      <c r="D89" s="32">
        <v>0</v>
      </c>
      <c r="E89" s="31">
        <v>521722.05</v>
      </c>
      <c r="F89" s="32">
        <v>6052.1</v>
      </c>
      <c r="G89" s="31">
        <v>116647.15</v>
      </c>
      <c r="H89" s="32">
        <v>0</v>
      </c>
      <c r="I89" s="31">
        <v>126115.15</v>
      </c>
      <c r="J89" s="32">
        <v>298.5</v>
      </c>
      <c r="K89" s="31">
        <v>43699.1</v>
      </c>
      <c r="L89" s="32">
        <v>0</v>
      </c>
      <c r="M89" s="31">
        <v>101505.1</v>
      </c>
      <c r="N89" s="32">
        <v>12245.65</v>
      </c>
      <c r="O89" s="31">
        <v>68242.05</v>
      </c>
      <c r="P89" s="32">
        <v>11575.15</v>
      </c>
    </row>
    <row r="90" spans="1:16" ht="14.1" customHeight="1" x14ac:dyDescent="0.25">
      <c r="A90" s="15" t="s">
        <v>153</v>
      </c>
      <c r="B90" s="16" t="s">
        <v>154</v>
      </c>
      <c r="C90" s="31">
        <v>10570.35</v>
      </c>
      <c r="D90" s="32">
        <v>0</v>
      </c>
      <c r="E90" s="31">
        <v>140628.6</v>
      </c>
      <c r="F90" s="32">
        <v>2440</v>
      </c>
      <c r="G90" s="31">
        <v>20484.400000000001</v>
      </c>
      <c r="H90" s="32">
        <v>0</v>
      </c>
      <c r="I90" s="31">
        <v>27097.35</v>
      </c>
      <c r="J90" s="32">
        <v>0</v>
      </c>
      <c r="K90" s="31">
        <v>11033.55</v>
      </c>
      <c r="L90" s="32">
        <v>0</v>
      </c>
      <c r="M90" s="31">
        <v>21898.55</v>
      </c>
      <c r="N90" s="32">
        <v>0</v>
      </c>
      <c r="O90" s="31">
        <v>45567.25</v>
      </c>
      <c r="P90" s="32">
        <v>0</v>
      </c>
    </row>
    <row r="91" spans="1:16" ht="14.1" customHeight="1" x14ac:dyDescent="0.25">
      <c r="A91" s="15" t="s">
        <v>155</v>
      </c>
      <c r="B91" s="16" t="s">
        <v>156</v>
      </c>
      <c r="C91" s="31">
        <v>180541.65</v>
      </c>
      <c r="D91" s="32">
        <v>0</v>
      </c>
      <c r="E91" s="31">
        <v>1727348.48</v>
      </c>
      <c r="F91" s="32">
        <v>63194.85</v>
      </c>
      <c r="G91" s="31">
        <v>436361.95</v>
      </c>
      <c r="H91" s="32">
        <v>0</v>
      </c>
      <c r="I91" s="31">
        <v>442036.3</v>
      </c>
      <c r="J91" s="32">
        <v>0</v>
      </c>
      <c r="K91" s="31">
        <v>161687.35</v>
      </c>
      <c r="L91" s="32">
        <v>0</v>
      </c>
      <c r="M91" s="31">
        <v>392620.85</v>
      </c>
      <c r="N91" s="32">
        <v>34539.550000000003</v>
      </c>
      <c r="O91" s="31">
        <v>715821.3</v>
      </c>
      <c r="P91" s="32">
        <v>150786.9</v>
      </c>
    </row>
    <row r="92" spans="1:16" ht="14.1" customHeight="1" x14ac:dyDescent="0.25">
      <c r="A92" s="15" t="s">
        <v>157</v>
      </c>
      <c r="B92" s="16" t="s">
        <v>158</v>
      </c>
      <c r="C92" s="31">
        <v>97162.6</v>
      </c>
      <c r="D92" s="32">
        <v>0</v>
      </c>
      <c r="E92" s="31">
        <v>927986.9</v>
      </c>
      <c r="F92" s="32">
        <v>37978.5</v>
      </c>
      <c r="G92" s="31">
        <v>212864.5</v>
      </c>
      <c r="H92" s="32">
        <v>0</v>
      </c>
      <c r="I92" s="31">
        <v>228754.45</v>
      </c>
      <c r="J92" s="32">
        <v>0</v>
      </c>
      <c r="K92" s="31">
        <v>78442.850000000006</v>
      </c>
      <c r="L92" s="32">
        <v>0</v>
      </c>
      <c r="M92" s="31">
        <v>238216.7</v>
      </c>
      <c r="N92" s="32">
        <v>0</v>
      </c>
      <c r="O92" s="31">
        <v>223682.75</v>
      </c>
      <c r="P92" s="32">
        <v>680</v>
      </c>
    </row>
    <row r="93" spans="1:16" ht="14.1" customHeight="1" x14ac:dyDescent="0.25">
      <c r="A93" s="15" t="s">
        <v>159</v>
      </c>
      <c r="B93" s="16" t="s">
        <v>160</v>
      </c>
      <c r="C93" s="31">
        <v>26975.5</v>
      </c>
      <c r="D93" s="32">
        <v>0</v>
      </c>
      <c r="E93" s="31">
        <v>348783.35</v>
      </c>
      <c r="F93" s="32">
        <v>0</v>
      </c>
      <c r="G93" s="31">
        <v>59135.1</v>
      </c>
      <c r="H93" s="32">
        <v>0</v>
      </c>
      <c r="I93" s="31">
        <v>62345.55</v>
      </c>
      <c r="J93" s="32">
        <v>0</v>
      </c>
      <c r="K93" s="31">
        <v>20685.849999999999</v>
      </c>
      <c r="L93" s="32">
        <v>32</v>
      </c>
      <c r="M93" s="31">
        <v>43037.3</v>
      </c>
      <c r="N93" s="32">
        <v>0</v>
      </c>
      <c r="O93" s="31">
        <v>16193</v>
      </c>
      <c r="P93" s="32">
        <v>321.60000000000002</v>
      </c>
    </row>
    <row r="94" spans="1:16" ht="14.1" customHeight="1" x14ac:dyDescent="0.25">
      <c r="A94" s="15" t="s">
        <v>161</v>
      </c>
      <c r="B94" s="16" t="s">
        <v>162</v>
      </c>
      <c r="C94" s="31">
        <v>106464.55</v>
      </c>
      <c r="D94" s="32">
        <v>0</v>
      </c>
      <c r="E94" s="31">
        <v>957160.4</v>
      </c>
      <c r="F94" s="32">
        <v>3740</v>
      </c>
      <c r="G94" s="31">
        <v>235333.65</v>
      </c>
      <c r="H94" s="32">
        <v>0</v>
      </c>
      <c r="I94" s="31">
        <v>253783.35</v>
      </c>
      <c r="J94" s="32">
        <v>0</v>
      </c>
      <c r="K94" s="31">
        <v>89869.45</v>
      </c>
      <c r="L94" s="32">
        <v>0</v>
      </c>
      <c r="M94" s="31">
        <v>209267.3</v>
      </c>
      <c r="N94" s="32">
        <v>24355.599999999999</v>
      </c>
      <c r="O94" s="31">
        <v>294952.25</v>
      </c>
      <c r="P94" s="32">
        <v>4588.1000000000004</v>
      </c>
    </row>
    <row r="95" spans="1:16" ht="14.1" customHeight="1" x14ac:dyDescent="0.25">
      <c r="A95" s="15" t="s">
        <v>163</v>
      </c>
      <c r="B95" s="16" t="s">
        <v>164</v>
      </c>
      <c r="C95" s="31">
        <v>90313.1</v>
      </c>
      <c r="D95" s="32">
        <v>0</v>
      </c>
      <c r="E95" s="31">
        <v>896885.3</v>
      </c>
      <c r="F95" s="32">
        <v>3390</v>
      </c>
      <c r="G95" s="31">
        <v>195624.55</v>
      </c>
      <c r="H95" s="32">
        <v>0</v>
      </c>
      <c r="I95" s="31">
        <v>204097.35</v>
      </c>
      <c r="J95" s="32">
        <v>0</v>
      </c>
      <c r="K95" s="31">
        <v>67784.600000000006</v>
      </c>
      <c r="L95" s="32">
        <v>0</v>
      </c>
      <c r="M95" s="31">
        <v>148906.5</v>
      </c>
      <c r="N95" s="32">
        <v>34090.699999999997</v>
      </c>
      <c r="O95" s="31">
        <v>108560.25</v>
      </c>
      <c r="P95" s="32">
        <v>2103.1</v>
      </c>
    </row>
    <row r="96" spans="1:16" ht="14.1" customHeight="1" x14ac:dyDescent="0.25">
      <c r="A96" s="15" t="s">
        <v>165</v>
      </c>
      <c r="B96" s="16" t="s">
        <v>333</v>
      </c>
      <c r="C96" s="31">
        <v>176144.35</v>
      </c>
      <c r="D96" s="32">
        <v>0</v>
      </c>
      <c r="E96" s="31">
        <v>1577588.15</v>
      </c>
      <c r="F96" s="32">
        <v>42740.1</v>
      </c>
      <c r="G96" s="31">
        <v>391529.5</v>
      </c>
      <c r="H96" s="32">
        <v>0</v>
      </c>
      <c r="I96" s="31">
        <v>408193.45</v>
      </c>
      <c r="J96" s="32">
        <v>0</v>
      </c>
      <c r="K96" s="31">
        <v>142764.75</v>
      </c>
      <c r="L96" s="32">
        <v>0</v>
      </c>
      <c r="M96" s="31">
        <v>430203.7</v>
      </c>
      <c r="N96" s="32">
        <v>76453.3</v>
      </c>
      <c r="O96" s="31">
        <v>444952.25</v>
      </c>
      <c r="P96" s="32">
        <v>21025.15</v>
      </c>
    </row>
    <row r="97" spans="1:16" ht="14.1" customHeight="1" x14ac:dyDescent="0.25">
      <c r="A97" s="15" t="s">
        <v>166</v>
      </c>
      <c r="B97" s="16" t="s">
        <v>167</v>
      </c>
      <c r="C97" s="31">
        <v>20379.599999999999</v>
      </c>
      <c r="D97" s="32">
        <v>0</v>
      </c>
      <c r="E97" s="31">
        <v>196894.4</v>
      </c>
      <c r="F97" s="32">
        <v>0</v>
      </c>
      <c r="G97" s="31">
        <v>38016.699999999997</v>
      </c>
      <c r="H97" s="32">
        <v>0</v>
      </c>
      <c r="I97" s="31">
        <v>60521</v>
      </c>
      <c r="J97" s="32">
        <v>0</v>
      </c>
      <c r="K97" s="31">
        <v>29081.85</v>
      </c>
      <c r="L97" s="32">
        <v>0</v>
      </c>
      <c r="M97" s="31">
        <v>50218.15</v>
      </c>
      <c r="N97" s="32">
        <v>0</v>
      </c>
      <c r="O97" s="31">
        <v>73498.600000000006</v>
      </c>
      <c r="P97" s="32">
        <v>750.6</v>
      </c>
    </row>
    <row r="98" spans="1:16" ht="14.1" customHeight="1" x14ac:dyDescent="0.25">
      <c r="A98" s="15" t="s">
        <v>168</v>
      </c>
      <c r="B98" s="16" t="s">
        <v>169</v>
      </c>
      <c r="C98" s="31">
        <v>4308874.4000000004</v>
      </c>
      <c r="D98" s="32">
        <v>4655.3</v>
      </c>
      <c r="E98" s="31">
        <v>46626772.399999999</v>
      </c>
      <c r="F98" s="32">
        <v>8900670.9000000004</v>
      </c>
      <c r="G98" s="31">
        <v>6338156.5</v>
      </c>
      <c r="H98" s="32">
        <v>539479.15</v>
      </c>
      <c r="I98" s="31">
        <v>7311548.2999999998</v>
      </c>
      <c r="J98" s="32">
        <v>0</v>
      </c>
      <c r="K98" s="31">
        <v>2543426.6</v>
      </c>
      <c r="L98" s="32">
        <v>0</v>
      </c>
      <c r="M98" s="31">
        <v>22156745.100000001</v>
      </c>
      <c r="N98" s="32">
        <v>12483003.529999999</v>
      </c>
      <c r="O98" s="31">
        <v>10242998.890000001</v>
      </c>
      <c r="P98" s="32">
        <v>9320787.7899999991</v>
      </c>
    </row>
    <row r="99" spans="1:16" ht="14.1" customHeight="1" x14ac:dyDescent="0.25">
      <c r="A99" s="15" t="s">
        <v>170</v>
      </c>
      <c r="B99" s="16" t="s">
        <v>171</v>
      </c>
      <c r="C99" s="31">
        <v>271801.05</v>
      </c>
      <c r="D99" s="32">
        <v>5390</v>
      </c>
      <c r="E99" s="31">
        <v>2221303.2000000002</v>
      </c>
      <c r="F99" s="32">
        <v>11830</v>
      </c>
      <c r="G99" s="31">
        <v>558098.35</v>
      </c>
      <c r="H99" s="32">
        <v>36410</v>
      </c>
      <c r="I99" s="31">
        <v>648246.4</v>
      </c>
      <c r="J99" s="32">
        <v>0</v>
      </c>
      <c r="K99" s="31">
        <v>214858.95</v>
      </c>
      <c r="L99" s="32">
        <v>0</v>
      </c>
      <c r="M99" s="31">
        <v>669989.55000000005</v>
      </c>
      <c r="N99" s="32">
        <v>81967.05</v>
      </c>
      <c r="O99" s="31">
        <v>906076.15</v>
      </c>
      <c r="P99" s="32">
        <v>54150.8</v>
      </c>
    </row>
    <row r="100" spans="1:16" ht="14.1" customHeight="1" x14ac:dyDescent="0.25">
      <c r="A100" s="15" t="s">
        <v>172</v>
      </c>
      <c r="B100" s="16" t="s">
        <v>173</v>
      </c>
      <c r="C100" s="31">
        <v>209462.1</v>
      </c>
      <c r="D100" s="32">
        <v>0</v>
      </c>
      <c r="E100" s="31">
        <v>1960298.35</v>
      </c>
      <c r="F100" s="32">
        <v>0</v>
      </c>
      <c r="G100" s="31">
        <v>481215.05</v>
      </c>
      <c r="H100" s="32">
        <v>21000.9</v>
      </c>
      <c r="I100" s="31">
        <v>546514.30000000005</v>
      </c>
      <c r="J100" s="32">
        <v>95000</v>
      </c>
      <c r="K100" s="31">
        <v>201666.05</v>
      </c>
      <c r="L100" s="32">
        <v>0</v>
      </c>
      <c r="M100" s="31">
        <v>560482.94999999995</v>
      </c>
      <c r="N100" s="32">
        <v>78388.850000000006</v>
      </c>
      <c r="O100" s="31">
        <v>661141.27</v>
      </c>
      <c r="P100" s="32">
        <v>128930.5</v>
      </c>
    </row>
    <row r="101" spans="1:16" ht="14.1" customHeight="1" x14ac:dyDescent="0.25">
      <c r="A101" s="15" t="s">
        <v>174</v>
      </c>
      <c r="B101" s="16" t="s">
        <v>175</v>
      </c>
      <c r="C101" s="31">
        <v>152710.25</v>
      </c>
      <c r="D101" s="32">
        <v>0</v>
      </c>
      <c r="E101" s="31">
        <v>1260748.5900000001</v>
      </c>
      <c r="F101" s="32">
        <v>34130</v>
      </c>
      <c r="G101" s="31">
        <v>305796.84999999998</v>
      </c>
      <c r="H101" s="32">
        <v>0</v>
      </c>
      <c r="I101" s="31">
        <v>328971</v>
      </c>
      <c r="J101" s="32">
        <v>0</v>
      </c>
      <c r="K101" s="31">
        <v>105692.9</v>
      </c>
      <c r="L101" s="32">
        <v>0</v>
      </c>
      <c r="M101" s="31">
        <v>309344.34999999998</v>
      </c>
      <c r="N101" s="32">
        <v>51054.35</v>
      </c>
      <c r="O101" s="31">
        <v>436430.9</v>
      </c>
      <c r="P101" s="32">
        <v>51421.55</v>
      </c>
    </row>
    <row r="102" spans="1:16" ht="14.1" customHeight="1" x14ac:dyDescent="0.25">
      <c r="A102" s="15" t="s">
        <v>177</v>
      </c>
      <c r="B102" s="16" t="s">
        <v>178</v>
      </c>
      <c r="C102" s="31">
        <v>637540.9</v>
      </c>
      <c r="D102" s="32">
        <v>1620</v>
      </c>
      <c r="E102" s="31">
        <f>6379359.7-233072.8</f>
        <v>6146286.9000000004</v>
      </c>
      <c r="F102" s="32">
        <f>154265.53-81257.78</f>
        <v>73007.75</v>
      </c>
      <c r="G102" s="31">
        <v>1394938.6</v>
      </c>
      <c r="H102" s="32">
        <v>83519.600000000006</v>
      </c>
      <c r="I102" s="31">
        <v>1525770.4</v>
      </c>
      <c r="J102" s="32">
        <v>0</v>
      </c>
      <c r="K102" s="31">
        <v>497171.5</v>
      </c>
      <c r="L102" s="32">
        <v>0</v>
      </c>
      <c r="M102" s="31">
        <v>3599639.2</v>
      </c>
      <c r="N102" s="32">
        <v>1789305.45</v>
      </c>
      <c r="O102" s="31">
        <v>1285171.6499999999</v>
      </c>
      <c r="P102" s="32">
        <v>40407.25</v>
      </c>
    </row>
    <row r="103" spans="1:16" ht="14.1" customHeight="1" x14ac:dyDescent="0.25">
      <c r="A103" s="15" t="s">
        <v>179</v>
      </c>
      <c r="B103" s="16" t="s">
        <v>180</v>
      </c>
      <c r="C103" s="31">
        <v>133693.9</v>
      </c>
      <c r="D103" s="32">
        <v>0</v>
      </c>
      <c r="E103" s="31">
        <v>1263625.3500000001</v>
      </c>
      <c r="F103" s="32">
        <v>28502.5</v>
      </c>
      <c r="G103" s="31">
        <v>277463.7</v>
      </c>
      <c r="H103" s="32">
        <v>0</v>
      </c>
      <c r="I103" s="31">
        <v>308405.7</v>
      </c>
      <c r="J103" s="32">
        <v>0</v>
      </c>
      <c r="K103" s="31">
        <v>122826.25</v>
      </c>
      <c r="L103" s="32">
        <v>0</v>
      </c>
      <c r="M103" s="31">
        <v>230321.5</v>
      </c>
      <c r="N103" s="32">
        <v>45045.95</v>
      </c>
      <c r="O103" s="31">
        <v>363318.44</v>
      </c>
      <c r="P103" s="32">
        <v>0</v>
      </c>
    </row>
    <row r="104" spans="1:16" ht="14.1" customHeight="1" x14ac:dyDescent="0.25">
      <c r="A104" s="15" t="s">
        <v>181</v>
      </c>
      <c r="B104" s="16" t="s">
        <v>182</v>
      </c>
      <c r="C104" s="31">
        <v>181639.3</v>
      </c>
      <c r="D104" s="32">
        <v>0</v>
      </c>
      <c r="E104" s="31">
        <v>1662798.95</v>
      </c>
      <c r="F104" s="32">
        <v>46226.3</v>
      </c>
      <c r="G104" s="31">
        <v>387767.55</v>
      </c>
      <c r="H104" s="32">
        <v>0</v>
      </c>
      <c r="I104" s="31">
        <f>429039.4+187.55</f>
        <v>429226.95</v>
      </c>
      <c r="J104" s="32">
        <v>0</v>
      </c>
      <c r="K104" s="31">
        <v>156069.45000000001</v>
      </c>
      <c r="L104" s="32">
        <v>0</v>
      </c>
      <c r="M104" s="31">
        <v>340766.65</v>
      </c>
      <c r="N104" s="32">
        <v>40592.85</v>
      </c>
      <c r="O104" s="31">
        <v>409272.17</v>
      </c>
      <c r="P104" s="32">
        <v>21514.35</v>
      </c>
    </row>
    <row r="105" spans="1:16" ht="14.1" customHeight="1" x14ac:dyDescent="0.25">
      <c r="A105" s="15" t="s">
        <v>183</v>
      </c>
      <c r="B105" s="16" t="s">
        <v>184</v>
      </c>
      <c r="C105" s="31">
        <v>45325.599999999999</v>
      </c>
      <c r="D105" s="32">
        <v>0</v>
      </c>
      <c r="E105" s="31">
        <v>528497.9</v>
      </c>
      <c r="F105" s="32">
        <v>122588.35</v>
      </c>
      <c r="G105" s="31">
        <v>97717.25</v>
      </c>
      <c r="H105" s="32">
        <v>0</v>
      </c>
      <c r="I105" s="31">
        <v>105724.65</v>
      </c>
      <c r="J105" s="32">
        <v>0</v>
      </c>
      <c r="K105" s="31">
        <v>34911</v>
      </c>
      <c r="L105" s="32">
        <v>0</v>
      </c>
      <c r="M105" s="31">
        <v>71257.899999999994</v>
      </c>
      <c r="N105" s="32">
        <v>0</v>
      </c>
      <c r="O105" s="31">
        <v>55925.75</v>
      </c>
      <c r="P105" s="32">
        <v>1296.3499999999999</v>
      </c>
    </row>
    <row r="106" spans="1:16" ht="14.1" customHeight="1" x14ac:dyDescent="0.25">
      <c r="A106" s="15" t="s">
        <v>185</v>
      </c>
      <c r="B106" s="16" t="s">
        <v>186</v>
      </c>
      <c r="C106" s="31">
        <v>12769</v>
      </c>
      <c r="D106" s="32">
        <v>0</v>
      </c>
      <c r="E106" s="31">
        <v>161918.95000000001</v>
      </c>
      <c r="F106" s="32">
        <v>792</v>
      </c>
      <c r="G106" s="31">
        <v>27164.35</v>
      </c>
      <c r="H106" s="32">
        <v>0</v>
      </c>
      <c r="I106" s="31">
        <v>31813.5</v>
      </c>
      <c r="J106" s="32">
        <v>0</v>
      </c>
      <c r="K106" s="31">
        <v>11543.1</v>
      </c>
      <c r="L106" s="32">
        <v>0</v>
      </c>
      <c r="M106" s="31">
        <v>23693.7</v>
      </c>
      <c r="N106" s="32">
        <v>0</v>
      </c>
      <c r="O106" s="31">
        <v>14656.9</v>
      </c>
      <c r="P106" s="32">
        <v>0</v>
      </c>
    </row>
    <row r="107" spans="1:16" ht="14.1" customHeight="1" x14ac:dyDescent="0.25">
      <c r="A107" s="15" t="s">
        <v>187</v>
      </c>
      <c r="B107" s="16" t="s">
        <v>188</v>
      </c>
      <c r="C107" s="31">
        <v>52682.65</v>
      </c>
      <c r="D107" s="32">
        <v>0</v>
      </c>
      <c r="E107" s="31">
        <v>474789.85</v>
      </c>
      <c r="F107" s="32">
        <v>0</v>
      </c>
      <c r="G107" s="31">
        <v>111911.55</v>
      </c>
      <c r="H107" s="32">
        <v>0</v>
      </c>
      <c r="I107" s="31">
        <v>121853.9</v>
      </c>
      <c r="J107" s="32">
        <v>0</v>
      </c>
      <c r="K107" s="31">
        <v>38570.35</v>
      </c>
      <c r="L107" s="32">
        <v>0</v>
      </c>
      <c r="M107" s="31">
        <v>104533.8</v>
      </c>
      <c r="N107" s="32">
        <v>0</v>
      </c>
      <c r="O107" s="31">
        <v>107222</v>
      </c>
      <c r="P107" s="32">
        <v>0</v>
      </c>
    </row>
    <row r="108" spans="1:16" ht="14.1" customHeight="1" x14ac:dyDescent="0.25">
      <c r="A108" s="15">
        <v>2220</v>
      </c>
      <c r="B108" s="16" t="s">
        <v>189</v>
      </c>
      <c r="C108" s="31">
        <v>253561.35</v>
      </c>
      <c r="D108" s="32">
        <v>1650</v>
      </c>
      <c r="E108" s="31">
        <f>2133832.8+23678.85</f>
        <v>2157511.65</v>
      </c>
      <c r="F108" s="32">
        <v>18568.3</v>
      </c>
      <c r="G108" s="31">
        <v>531822.65</v>
      </c>
      <c r="H108" s="32">
        <v>33846.400000000001</v>
      </c>
      <c r="I108" s="31">
        <v>570561.75</v>
      </c>
      <c r="J108" s="32">
        <v>0</v>
      </c>
      <c r="K108" s="31">
        <v>196206.05</v>
      </c>
      <c r="L108" s="32">
        <v>0</v>
      </c>
      <c r="M108" s="31">
        <v>510698.45</v>
      </c>
      <c r="N108" s="32">
        <v>100314.6</v>
      </c>
      <c r="O108" s="31">
        <v>685829.5</v>
      </c>
      <c r="P108" s="32">
        <v>128271.05</v>
      </c>
    </row>
    <row r="109" spans="1:16" ht="14.1" customHeight="1" x14ac:dyDescent="0.25">
      <c r="A109" s="15" t="s">
        <v>190</v>
      </c>
      <c r="B109" s="16" t="s">
        <v>191</v>
      </c>
      <c r="C109" s="31">
        <v>75882.399999999994</v>
      </c>
      <c r="D109" s="32">
        <v>0</v>
      </c>
      <c r="E109" s="31">
        <v>669840.5</v>
      </c>
      <c r="F109" s="32">
        <v>9184</v>
      </c>
      <c r="G109" s="31">
        <v>160382.25</v>
      </c>
      <c r="H109" s="32">
        <v>0</v>
      </c>
      <c r="I109" s="31">
        <v>170805.45</v>
      </c>
      <c r="J109" s="32">
        <v>6166.8</v>
      </c>
      <c r="K109" s="31">
        <v>59051.95</v>
      </c>
      <c r="L109" s="32">
        <v>0</v>
      </c>
      <c r="M109" s="31">
        <v>125777.65</v>
      </c>
      <c r="N109" s="32">
        <v>9972.75</v>
      </c>
      <c r="O109" s="31">
        <v>162248.65</v>
      </c>
      <c r="P109" s="32">
        <v>1936.45</v>
      </c>
    </row>
    <row r="110" spans="1:16" ht="14.1" customHeight="1" x14ac:dyDescent="0.25">
      <c r="A110" s="15" t="s">
        <v>192</v>
      </c>
      <c r="B110" s="16" t="s">
        <v>193</v>
      </c>
      <c r="C110" s="31">
        <v>102151.9</v>
      </c>
      <c r="D110" s="32">
        <v>0</v>
      </c>
      <c r="E110" s="31">
        <v>999828.7</v>
      </c>
      <c r="F110" s="32">
        <v>52555.6</v>
      </c>
      <c r="G110" s="31">
        <v>225411.55</v>
      </c>
      <c r="H110" s="32">
        <v>0</v>
      </c>
      <c r="I110" s="31">
        <v>243393.35</v>
      </c>
      <c r="J110" s="32">
        <v>0</v>
      </c>
      <c r="K110" s="31">
        <v>86047.95</v>
      </c>
      <c r="L110" s="32">
        <v>0</v>
      </c>
      <c r="M110" s="31">
        <v>275171.75</v>
      </c>
      <c r="N110" s="32">
        <v>32380.75</v>
      </c>
      <c r="O110" s="31">
        <v>164105.79999999999</v>
      </c>
      <c r="P110" s="32">
        <v>20283.5</v>
      </c>
    </row>
    <row r="111" spans="1:16" ht="14.1" customHeight="1" x14ac:dyDescent="0.25">
      <c r="A111" s="15">
        <v>2223</v>
      </c>
      <c r="B111" s="16" t="s">
        <v>194</v>
      </c>
      <c r="C111" s="31">
        <v>93272.75</v>
      </c>
      <c r="D111" s="32">
        <v>0</v>
      </c>
      <c r="E111" s="31">
        <v>825395.65</v>
      </c>
      <c r="F111" s="32">
        <v>7029.5</v>
      </c>
      <c r="G111" s="31">
        <v>208495.85</v>
      </c>
      <c r="H111" s="32">
        <v>0</v>
      </c>
      <c r="I111" s="31">
        <v>213803.4</v>
      </c>
      <c r="J111" s="32">
        <v>0</v>
      </c>
      <c r="K111" s="31">
        <v>74859.600000000006</v>
      </c>
      <c r="L111" s="32">
        <v>0</v>
      </c>
      <c r="M111" s="31">
        <v>220404.8</v>
      </c>
      <c r="N111" s="32">
        <v>24409.5</v>
      </c>
      <c r="O111" s="31">
        <v>197322.05</v>
      </c>
      <c r="P111" s="32">
        <v>10000</v>
      </c>
    </row>
    <row r="112" spans="1:16" ht="14.1" customHeight="1" x14ac:dyDescent="0.25">
      <c r="A112" s="15" t="s">
        <v>195</v>
      </c>
      <c r="B112" s="16" t="s">
        <v>196</v>
      </c>
      <c r="C112" s="31">
        <v>9893.85</v>
      </c>
      <c r="D112" s="32">
        <v>0</v>
      </c>
      <c r="E112" s="31">
        <v>100195.3</v>
      </c>
      <c r="F112" s="32">
        <v>360</v>
      </c>
      <c r="G112" s="31">
        <v>17770.25</v>
      </c>
      <c r="H112" s="32">
        <v>0</v>
      </c>
      <c r="I112" s="31">
        <v>23505.25</v>
      </c>
      <c r="J112" s="32">
        <v>0</v>
      </c>
      <c r="K112" s="31">
        <v>7797.9</v>
      </c>
      <c r="L112" s="32">
        <v>0</v>
      </c>
      <c r="M112" s="31">
        <v>14429.15</v>
      </c>
      <c r="N112" s="32">
        <v>0</v>
      </c>
      <c r="O112" s="31">
        <v>8381.4500000000007</v>
      </c>
      <c r="P112" s="32">
        <v>0</v>
      </c>
    </row>
    <row r="113" spans="1:16" ht="14.1" customHeight="1" x14ac:dyDescent="0.25">
      <c r="A113" s="15" t="s">
        <v>197</v>
      </c>
      <c r="B113" s="16" t="s">
        <v>198</v>
      </c>
      <c r="C113" s="31">
        <v>120501.95</v>
      </c>
      <c r="D113" s="32">
        <v>0</v>
      </c>
      <c r="E113" s="31">
        <v>1031414.15</v>
      </c>
      <c r="F113" s="32">
        <v>3125.5</v>
      </c>
      <c r="G113" s="31">
        <v>294577.3</v>
      </c>
      <c r="H113" s="32">
        <v>33505</v>
      </c>
      <c r="I113" s="31">
        <v>275333.09999999998</v>
      </c>
      <c r="J113" s="32">
        <v>0</v>
      </c>
      <c r="K113" s="31">
        <v>81399.850000000006</v>
      </c>
      <c r="L113" s="32">
        <v>0</v>
      </c>
      <c r="M113" s="31">
        <v>234568.9</v>
      </c>
      <c r="N113" s="32">
        <v>6686.85</v>
      </c>
      <c r="O113" s="31">
        <v>302086.40000000002</v>
      </c>
      <c r="P113" s="32">
        <v>66987.3</v>
      </c>
    </row>
    <row r="114" spans="1:16" ht="14.1" customHeight="1" x14ac:dyDescent="0.25">
      <c r="A114" s="15" t="s">
        <v>199</v>
      </c>
      <c r="B114" s="16" t="s">
        <v>200</v>
      </c>
      <c r="C114" s="31">
        <v>953409.15</v>
      </c>
      <c r="D114" s="32">
        <v>0</v>
      </c>
      <c r="E114" s="31">
        <v>9653154.1500000004</v>
      </c>
      <c r="F114" s="32">
        <v>251014.55</v>
      </c>
      <c r="G114" s="31">
        <v>1660064.45</v>
      </c>
      <c r="H114" s="32">
        <v>0</v>
      </c>
      <c r="I114" s="31">
        <f>1494533.25+997680.55</f>
        <v>2492213.7999999998</v>
      </c>
      <c r="J114" s="32">
        <v>446326.06</v>
      </c>
      <c r="K114" s="31">
        <v>915858.2</v>
      </c>
      <c r="L114" s="32">
        <v>0</v>
      </c>
      <c r="M114" s="31">
        <f>3692897.25+829037</f>
        <v>4521934.25</v>
      </c>
      <c r="N114" s="32">
        <f>795534.05+2509.6</f>
        <v>798043.65</v>
      </c>
      <c r="O114" s="31">
        <v>2713186.8</v>
      </c>
      <c r="P114" s="32">
        <v>191830.45</v>
      </c>
    </row>
    <row r="115" spans="1:16" s="37" customFormat="1" ht="14.1" customHeight="1" x14ac:dyDescent="0.25">
      <c r="A115" s="15" t="s">
        <v>201</v>
      </c>
      <c r="B115" s="16" t="s">
        <v>202</v>
      </c>
      <c r="C115" s="31">
        <v>7841</v>
      </c>
      <c r="D115" s="32">
        <v>0</v>
      </c>
      <c r="E115" s="31">
        <f>20.2+16337+38089.5+21262.6+32437</f>
        <v>108146.29999999999</v>
      </c>
      <c r="F115" s="32">
        <v>24378.55</v>
      </c>
      <c r="G115" s="31">
        <f>12009.9+662.35+1475.1</f>
        <v>14147.35</v>
      </c>
      <c r="H115" s="32">
        <v>0</v>
      </c>
      <c r="I115" s="31">
        <f>11043.15+5540.6</f>
        <v>16583.75</v>
      </c>
      <c r="J115" s="32">
        <v>0</v>
      </c>
      <c r="K115" s="31">
        <f>21.2+3819.35+1863</f>
        <v>5703.5499999999993</v>
      </c>
      <c r="L115" s="32">
        <v>0</v>
      </c>
      <c r="M115" s="31">
        <f>468.2+63.4+1305+290.55+6794.6+4960.75</f>
        <v>13882.5</v>
      </c>
      <c r="N115" s="32">
        <v>2242.15</v>
      </c>
      <c r="O115" s="31">
        <f>2537.3+1344</f>
        <v>3881.3</v>
      </c>
      <c r="P115" s="32">
        <v>0</v>
      </c>
    </row>
    <row r="116" spans="1:16" ht="14.1" customHeight="1" x14ac:dyDescent="0.25">
      <c r="A116" s="15" t="s">
        <v>203</v>
      </c>
      <c r="B116" s="16" t="s">
        <v>204</v>
      </c>
      <c r="C116" s="31">
        <v>62644.25</v>
      </c>
      <c r="D116" s="32">
        <v>0</v>
      </c>
      <c r="E116" s="31">
        <v>701996.8</v>
      </c>
      <c r="F116" s="32">
        <v>0</v>
      </c>
      <c r="G116" s="31">
        <v>156079.95000000001</v>
      </c>
      <c r="H116" s="32">
        <v>0</v>
      </c>
      <c r="I116" s="31">
        <v>161286.75</v>
      </c>
      <c r="J116" s="32">
        <v>0</v>
      </c>
      <c r="K116" s="31">
        <v>62883</v>
      </c>
      <c r="L116" s="32">
        <v>0</v>
      </c>
      <c r="M116" s="31">
        <v>169623.55</v>
      </c>
      <c r="N116" s="32">
        <v>0</v>
      </c>
      <c r="O116" s="31">
        <v>234938.25</v>
      </c>
      <c r="P116" s="32">
        <v>0</v>
      </c>
    </row>
    <row r="117" spans="1:16" ht="14.1" customHeight="1" x14ac:dyDescent="0.25">
      <c r="A117" s="15">
        <v>2233</v>
      </c>
      <c r="B117" s="16" t="s">
        <v>205</v>
      </c>
      <c r="C117" s="31">
        <v>208870.2</v>
      </c>
      <c r="D117" s="32">
        <v>8754.25</v>
      </c>
      <c r="E117" s="31">
        <v>1709815.7</v>
      </c>
      <c r="F117" s="32">
        <v>82133.149999999994</v>
      </c>
      <c r="G117" s="31">
        <v>400486.15</v>
      </c>
      <c r="H117" s="32">
        <v>19957.25</v>
      </c>
      <c r="I117" s="31">
        <v>425183.55</v>
      </c>
      <c r="J117" s="32">
        <v>15798.9</v>
      </c>
      <c r="K117" s="31">
        <v>148046.25</v>
      </c>
      <c r="L117" s="32">
        <v>5133.1499999999996</v>
      </c>
      <c r="M117" s="31">
        <v>476924</v>
      </c>
      <c r="N117" s="32">
        <v>63595.199999999997</v>
      </c>
      <c r="O117" s="31">
        <v>436406.65</v>
      </c>
      <c r="P117" s="32">
        <v>16746.3</v>
      </c>
    </row>
    <row r="118" spans="1:16" ht="14.1" customHeight="1" x14ac:dyDescent="0.25">
      <c r="A118" s="15">
        <v>2234</v>
      </c>
      <c r="B118" s="16" t="s">
        <v>206</v>
      </c>
      <c r="C118" s="31">
        <v>143925.95000000001</v>
      </c>
      <c r="D118" s="32">
        <v>0</v>
      </c>
      <c r="E118" s="31">
        <v>1875998.95</v>
      </c>
      <c r="F118" s="32">
        <v>566784.44999999995</v>
      </c>
      <c r="G118" s="31">
        <v>315143.40000000002</v>
      </c>
      <c r="H118" s="32">
        <v>0</v>
      </c>
      <c r="I118" s="31">
        <v>336535.55</v>
      </c>
      <c r="J118" s="32">
        <v>0</v>
      </c>
      <c r="K118" s="31">
        <v>107188.95</v>
      </c>
      <c r="L118" s="32">
        <v>0</v>
      </c>
      <c r="M118" s="31">
        <v>278485.25</v>
      </c>
      <c r="N118" s="32">
        <v>57583.95</v>
      </c>
      <c r="O118" s="31">
        <v>581535.30000000005</v>
      </c>
      <c r="P118" s="32">
        <v>132490.5</v>
      </c>
    </row>
    <row r="119" spans="1:16" ht="14.1" customHeight="1" x14ac:dyDescent="0.25">
      <c r="A119" s="33">
        <v>2235</v>
      </c>
      <c r="B119" s="34" t="s">
        <v>176</v>
      </c>
      <c r="C119" s="35">
        <v>91089.3</v>
      </c>
      <c r="D119" s="36">
        <v>2400</v>
      </c>
      <c r="E119" s="35">
        <v>867393.65</v>
      </c>
      <c r="F119" s="36">
        <v>42741.3</v>
      </c>
      <c r="G119" s="35">
        <v>213298.8</v>
      </c>
      <c r="H119" s="36">
        <v>27394.799999999999</v>
      </c>
      <c r="I119" s="35">
        <f>134375.85+65030</f>
        <v>199405.85</v>
      </c>
      <c r="J119" s="36">
        <v>0</v>
      </c>
      <c r="K119" s="35">
        <v>70785.25</v>
      </c>
      <c r="L119" s="36">
        <v>0</v>
      </c>
      <c r="M119" s="35">
        <v>229003.6</v>
      </c>
      <c r="N119" s="36">
        <v>20653.75</v>
      </c>
      <c r="O119" s="35">
        <v>77310.25</v>
      </c>
      <c r="P119" s="36">
        <v>9454</v>
      </c>
    </row>
    <row r="120" spans="1:16" ht="14.1" customHeight="1" x14ac:dyDescent="0.25">
      <c r="A120" s="15" t="s">
        <v>207</v>
      </c>
      <c r="B120" s="16" t="s">
        <v>334</v>
      </c>
      <c r="C120" s="31">
        <v>44799.75</v>
      </c>
      <c r="D120" s="32">
        <v>0</v>
      </c>
      <c r="E120" s="31">
        <f>4180+14122.1+1216+9842+217312.1+2400+11236.45+135834.7+8282.8</f>
        <v>404426.15</v>
      </c>
      <c r="F120" s="32">
        <v>0</v>
      </c>
      <c r="G120" s="31">
        <f>3882.8+1713.6+18174.4+70402.8</f>
        <v>94173.6</v>
      </c>
      <c r="H120" s="32">
        <v>0</v>
      </c>
      <c r="I120" s="31">
        <v>64735.6</v>
      </c>
      <c r="J120" s="32">
        <v>0</v>
      </c>
      <c r="K120" s="31">
        <f>40506.65+15068.6+1969</f>
        <v>57544.25</v>
      </c>
      <c r="L120" s="32">
        <v>0</v>
      </c>
      <c r="M120" s="31">
        <f>10962.65+1703.1+2744.55+371.65+7650+52898.95</f>
        <v>76330.899999999994</v>
      </c>
      <c r="N120" s="32">
        <v>33976.6</v>
      </c>
      <c r="O120" s="31">
        <f>202344.3-833.85-9775-879-15930.3</f>
        <v>174926.15</v>
      </c>
      <c r="P120" s="32">
        <f>6000+3788.45</f>
        <v>9788.4500000000007</v>
      </c>
    </row>
    <row r="121" spans="1:16" ht="14.1" customHeight="1" x14ac:dyDescent="0.25">
      <c r="A121" s="15" t="s">
        <v>208</v>
      </c>
      <c r="B121" s="16" t="s">
        <v>209</v>
      </c>
      <c r="C121" s="31">
        <v>15469.55</v>
      </c>
      <c r="D121" s="32">
        <v>0</v>
      </c>
      <c r="E121" s="31">
        <v>144361.15</v>
      </c>
      <c r="F121" s="32">
        <v>0</v>
      </c>
      <c r="G121" s="31">
        <v>19692.400000000001</v>
      </c>
      <c r="H121" s="32">
        <v>0</v>
      </c>
      <c r="I121" s="31">
        <v>22467.05</v>
      </c>
      <c r="J121" s="32">
        <v>0</v>
      </c>
      <c r="K121" s="31">
        <v>8268</v>
      </c>
      <c r="L121" s="32">
        <v>0</v>
      </c>
      <c r="M121" s="31">
        <v>22707.45</v>
      </c>
      <c r="N121" s="32">
        <v>6093.5</v>
      </c>
      <c r="O121" s="31">
        <v>10442.65</v>
      </c>
      <c r="P121" s="32">
        <v>0</v>
      </c>
    </row>
    <row r="122" spans="1:16" ht="14.1" customHeight="1" x14ac:dyDescent="0.25">
      <c r="A122" s="15" t="s">
        <v>210</v>
      </c>
      <c r="B122" s="16" t="s">
        <v>211</v>
      </c>
      <c r="C122" s="31">
        <v>104435.1</v>
      </c>
      <c r="D122" s="32">
        <v>0</v>
      </c>
      <c r="E122" s="31">
        <v>1607096.6</v>
      </c>
      <c r="F122" s="32">
        <v>0</v>
      </c>
      <c r="G122" s="31">
        <v>198363.5</v>
      </c>
      <c r="H122" s="32">
        <v>0</v>
      </c>
      <c r="I122" s="31">
        <v>163362.20000000001</v>
      </c>
      <c r="J122" s="32">
        <v>0</v>
      </c>
      <c r="K122" s="31">
        <v>99386.1</v>
      </c>
      <c r="L122" s="32">
        <v>12670.75</v>
      </c>
      <c r="M122" s="31">
        <v>115782.45</v>
      </c>
      <c r="N122" s="32">
        <v>39218.1</v>
      </c>
      <c r="O122" s="31">
        <v>280642.2</v>
      </c>
      <c r="P122" s="32">
        <v>0</v>
      </c>
    </row>
    <row r="123" spans="1:16" ht="14.1" customHeight="1" x14ac:dyDescent="0.25">
      <c r="A123" s="15" t="s">
        <v>212</v>
      </c>
      <c r="B123" s="16" t="s">
        <v>213</v>
      </c>
      <c r="C123" s="31">
        <v>24861.45</v>
      </c>
      <c r="D123" s="32">
        <v>0</v>
      </c>
      <c r="E123" s="31">
        <v>315754.65000000002</v>
      </c>
      <c r="F123" s="32">
        <v>0</v>
      </c>
      <c r="G123" s="31">
        <v>45008.3</v>
      </c>
      <c r="H123" s="32">
        <v>0</v>
      </c>
      <c r="I123" s="31">
        <v>39222.15</v>
      </c>
      <c r="J123" s="32">
        <v>0</v>
      </c>
      <c r="K123" s="31">
        <v>24136.7</v>
      </c>
      <c r="L123" s="32">
        <v>0</v>
      </c>
      <c r="M123" s="31">
        <v>42095</v>
      </c>
      <c r="N123" s="32">
        <v>193.8</v>
      </c>
      <c r="O123" s="31">
        <v>28714.75</v>
      </c>
      <c r="P123" s="32">
        <v>0</v>
      </c>
    </row>
    <row r="124" spans="1:16" ht="14.1" customHeight="1" x14ac:dyDescent="0.25">
      <c r="A124" s="15" t="s">
        <v>214</v>
      </c>
      <c r="B124" s="16" t="s">
        <v>215</v>
      </c>
      <c r="C124" s="31">
        <v>272872.65000000002</v>
      </c>
      <c r="D124" s="32">
        <v>4398.8500000000004</v>
      </c>
      <c r="E124" s="31">
        <v>2376219.2000000002</v>
      </c>
      <c r="F124" s="32">
        <v>103931.45</v>
      </c>
      <c r="G124" s="31">
        <v>579871.05000000005</v>
      </c>
      <c r="H124" s="32">
        <v>0</v>
      </c>
      <c r="I124" s="31">
        <v>555283.19999999995</v>
      </c>
      <c r="J124" s="32">
        <v>0</v>
      </c>
      <c r="K124" s="31">
        <v>210726.9</v>
      </c>
      <c r="L124" s="32">
        <v>0</v>
      </c>
      <c r="M124" s="31">
        <v>445762.5</v>
      </c>
      <c r="N124" s="32">
        <v>150194.54999999999</v>
      </c>
      <c r="O124" s="31">
        <v>607773.94999999995</v>
      </c>
      <c r="P124" s="32">
        <v>42286.400000000001</v>
      </c>
    </row>
    <row r="125" spans="1:16" ht="14.1" customHeight="1" x14ac:dyDescent="0.25">
      <c r="A125" s="15" t="s">
        <v>216</v>
      </c>
      <c r="B125" s="16" t="s">
        <v>217</v>
      </c>
      <c r="C125" s="31">
        <v>74116.45</v>
      </c>
      <c r="D125" s="32">
        <v>0</v>
      </c>
      <c r="E125" s="31">
        <v>692390.35</v>
      </c>
      <c r="F125" s="32">
        <v>9750</v>
      </c>
      <c r="G125" s="31">
        <v>143266.20000000001</v>
      </c>
      <c r="H125" s="32">
        <v>0</v>
      </c>
      <c r="I125" s="31">
        <v>104465.5</v>
      </c>
      <c r="J125" s="32">
        <v>0</v>
      </c>
      <c r="K125" s="31">
        <v>64867.55</v>
      </c>
      <c r="L125" s="32">
        <v>0</v>
      </c>
      <c r="M125" s="31">
        <v>83752.899999999994</v>
      </c>
      <c r="N125" s="32">
        <v>275</v>
      </c>
      <c r="O125" s="31">
        <v>223650.6</v>
      </c>
      <c r="P125" s="32">
        <v>38557.5</v>
      </c>
    </row>
    <row r="126" spans="1:16" ht="14.1" customHeight="1" x14ac:dyDescent="0.25">
      <c r="A126" s="15" t="s">
        <v>218</v>
      </c>
      <c r="B126" s="16" t="s">
        <v>219</v>
      </c>
      <c r="C126" s="31">
        <v>55304.3</v>
      </c>
      <c r="D126" s="32">
        <v>0</v>
      </c>
      <c r="E126" s="31">
        <v>408293.1</v>
      </c>
      <c r="F126" s="32">
        <v>0</v>
      </c>
      <c r="G126" s="31">
        <v>67107.149999999994</v>
      </c>
      <c r="H126" s="32">
        <v>0</v>
      </c>
      <c r="I126" s="31">
        <v>63009.05</v>
      </c>
      <c r="J126" s="32">
        <v>0</v>
      </c>
      <c r="K126" s="31">
        <f>17110.65+96.4+1973.5</f>
        <v>19180.550000000003</v>
      </c>
      <c r="L126" s="32">
        <v>34583.800000000003</v>
      </c>
      <c r="M126" s="31">
        <v>40336.75</v>
      </c>
      <c r="N126" s="32">
        <v>0</v>
      </c>
      <c r="O126" s="31">
        <v>175088.35</v>
      </c>
      <c r="P126" s="32">
        <v>18345.349999999999</v>
      </c>
    </row>
    <row r="127" spans="1:16" ht="14.1" customHeight="1" x14ac:dyDescent="0.25">
      <c r="A127" s="15" t="s">
        <v>220</v>
      </c>
      <c r="B127" s="16" t="s">
        <v>221</v>
      </c>
      <c r="C127" s="31">
        <v>55061.1</v>
      </c>
      <c r="D127" s="32">
        <v>729.15</v>
      </c>
      <c r="E127" s="31">
        <v>488770.45</v>
      </c>
      <c r="F127" s="32">
        <v>0</v>
      </c>
      <c r="G127" s="31">
        <v>90310.1</v>
      </c>
      <c r="H127" s="32">
        <v>0</v>
      </c>
      <c r="I127" s="31">
        <v>77175</v>
      </c>
      <c r="J127" s="32">
        <v>0</v>
      </c>
      <c r="K127" s="31">
        <v>45863.65</v>
      </c>
      <c r="L127" s="32">
        <v>5986.65</v>
      </c>
      <c r="M127" s="31">
        <v>64578.25</v>
      </c>
      <c r="N127" s="32">
        <v>18676.23</v>
      </c>
      <c r="O127" s="31">
        <v>88153.4</v>
      </c>
      <c r="P127" s="32">
        <v>1811.1</v>
      </c>
    </row>
    <row r="128" spans="1:16" ht="14.1" customHeight="1" x14ac:dyDescent="0.25">
      <c r="A128" s="15" t="s">
        <v>222</v>
      </c>
      <c r="B128" s="16" t="s">
        <v>223</v>
      </c>
      <c r="C128" s="31">
        <v>23158.799999999999</v>
      </c>
      <c r="D128" s="32">
        <v>0</v>
      </c>
      <c r="E128" s="31">
        <v>227324.25</v>
      </c>
      <c r="F128" s="32">
        <v>63825</v>
      </c>
      <c r="G128" s="31">
        <v>45311.1</v>
      </c>
      <c r="H128" s="32">
        <v>0</v>
      </c>
      <c r="I128" s="31">
        <v>40502.699999999997</v>
      </c>
      <c r="J128" s="32">
        <v>0</v>
      </c>
      <c r="K128" s="31">
        <v>17839.900000000001</v>
      </c>
      <c r="L128" s="32">
        <v>0</v>
      </c>
      <c r="M128" s="31">
        <v>31172.5</v>
      </c>
      <c r="N128" s="32">
        <v>9216.7999999999993</v>
      </c>
      <c r="O128" s="31">
        <v>9416.9500000000007</v>
      </c>
      <c r="P128" s="32">
        <v>0</v>
      </c>
    </row>
    <row r="129" spans="1:16" ht="14.1" customHeight="1" x14ac:dyDescent="0.25">
      <c r="A129" s="15" t="s">
        <v>224</v>
      </c>
      <c r="B129" s="16" t="s">
        <v>225</v>
      </c>
      <c r="C129" s="31">
        <v>13360.9</v>
      </c>
      <c r="D129" s="32">
        <v>0</v>
      </c>
      <c r="E129" s="31">
        <v>279991.2</v>
      </c>
      <c r="F129" s="32">
        <v>28</v>
      </c>
      <c r="G129" s="31">
        <v>25073.35</v>
      </c>
      <c r="H129" s="32">
        <v>0</v>
      </c>
      <c r="I129" s="31">
        <v>21578.55</v>
      </c>
      <c r="J129" s="32">
        <v>0</v>
      </c>
      <c r="K129" s="31">
        <v>16820.25</v>
      </c>
      <c r="L129" s="32">
        <v>0</v>
      </c>
      <c r="M129" s="31">
        <v>24967.95</v>
      </c>
      <c r="N129" s="32">
        <v>3250.1</v>
      </c>
      <c r="O129" s="31">
        <v>23624.65</v>
      </c>
      <c r="P129" s="32">
        <v>0</v>
      </c>
    </row>
    <row r="130" spans="1:16" ht="14.1" customHeight="1" x14ac:dyDescent="0.25">
      <c r="A130" s="15" t="s">
        <v>226</v>
      </c>
      <c r="B130" s="16" t="s">
        <v>335</v>
      </c>
      <c r="C130" s="31">
        <v>322522.59999999998</v>
      </c>
      <c r="D130" s="32">
        <v>0</v>
      </c>
      <c r="E130" s="31">
        <f>1623660.94+1158865.61+136644.32+208315.26+145288.98</f>
        <v>3272775.11</v>
      </c>
      <c r="F130" s="32">
        <f>8602.55+189189.9+37336.15+36811.45+42024.65</f>
        <v>313964.7</v>
      </c>
      <c r="G130" s="31">
        <v>791523.7</v>
      </c>
      <c r="H130" s="32">
        <v>80454.399999999994</v>
      </c>
      <c r="I130" s="31">
        <v>489578.85</v>
      </c>
      <c r="J130" s="32">
        <v>0</v>
      </c>
      <c r="K130" s="31">
        <v>332978.5</v>
      </c>
      <c r="L130" s="32">
        <v>55687.8</v>
      </c>
      <c r="M130" s="31">
        <v>327862.03999999998</v>
      </c>
      <c r="N130" s="32">
        <v>109696.6</v>
      </c>
      <c r="O130" s="31">
        <v>332662.09000000003</v>
      </c>
      <c r="P130" s="32">
        <v>11110.85</v>
      </c>
    </row>
    <row r="131" spans="1:16" ht="14.1" customHeight="1" x14ac:dyDescent="0.25">
      <c r="A131" s="15" t="s">
        <v>227</v>
      </c>
      <c r="B131" s="16" t="s">
        <v>228</v>
      </c>
      <c r="C131" s="31">
        <v>52379.1</v>
      </c>
      <c r="D131" s="32">
        <v>0</v>
      </c>
      <c r="E131" s="31">
        <v>341845.6</v>
      </c>
      <c r="F131" s="32">
        <v>0</v>
      </c>
      <c r="G131" s="31">
        <v>63940.05</v>
      </c>
      <c r="H131" s="32">
        <v>0</v>
      </c>
      <c r="I131" s="31">
        <v>53057.8</v>
      </c>
      <c r="J131" s="32">
        <v>0</v>
      </c>
      <c r="K131" s="31">
        <v>28487.55</v>
      </c>
      <c r="L131" s="32">
        <v>0</v>
      </c>
      <c r="M131" s="31">
        <v>42385.75</v>
      </c>
      <c r="N131" s="32">
        <v>0</v>
      </c>
      <c r="O131" s="31">
        <v>42503.8</v>
      </c>
      <c r="P131" s="32">
        <v>0</v>
      </c>
    </row>
    <row r="132" spans="1:16" ht="14.1" customHeight="1" x14ac:dyDescent="0.25">
      <c r="A132" s="15" t="s">
        <v>229</v>
      </c>
      <c r="B132" s="16" t="s">
        <v>230</v>
      </c>
      <c r="C132" s="31">
        <v>418830.94</v>
      </c>
      <c r="D132" s="32">
        <v>0</v>
      </c>
      <c r="E132" s="31">
        <f>2142535.97+1357400.83</f>
        <v>3499936.8000000003</v>
      </c>
      <c r="F132" s="32">
        <f>112051.4+644614.1</f>
        <v>756665.5</v>
      </c>
      <c r="G132" s="31">
        <v>956539.74</v>
      </c>
      <c r="H132" s="32">
        <v>156840.79999999999</v>
      </c>
      <c r="I132" s="31">
        <f>583635.9+16696.6</f>
        <v>600332.5</v>
      </c>
      <c r="J132" s="32">
        <v>0</v>
      </c>
      <c r="K132" s="31">
        <v>279279.05</v>
      </c>
      <c r="L132" s="32">
        <v>0</v>
      </c>
      <c r="M132" s="31">
        <v>1037390.95</v>
      </c>
      <c r="N132" s="32">
        <v>629795.75</v>
      </c>
      <c r="O132" s="31">
        <v>980253</v>
      </c>
      <c r="P132" s="32">
        <v>202449.8</v>
      </c>
    </row>
    <row r="133" spans="1:16" ht="14.1" customHeight="1" x14ac:dyDescent="0.25">
      <c r="A133" s="15" t="s">
        <v>231</v>
      </c>
      <c r="B133" s="16" t="s">
        <v>232</v>
      </c>
      <c r="C133" s="31">
        <v>48708.15</v>
      </c>
      <c r="D133" s="32">
        <v>0</v>
      </c>
      <c r="E133" s="31">
        <v>711929.2</v>
      </c>
      <c r="F133" s="32">
        <v>0</v>
      </c>
      <c r="G133" s="31">
        <v>112475.85</v>
      </c>
      <c r="H133" s="32">
        <v>25853.45</v>
      </c>
      <c r="I133" s="31">
        <v>74374.75</v>
      </c>
      <c r="J133" s="32">
        <v>0</v>
      </c>
      <c r="K133" s="31">
        <v>46142.5</v>
      </c>
      <c r="L133" s="32">
        <v>6031.7</v>
      </c>
      <c r="M133" s="31">
        <v>72391.149999999994</v>
      </c>
      <c r="N133" s="32">
        <v>7264.25</v>
      </c>
      <c r="O133" s="31">
        <v>40272.400000000001</v>
      </c>
      <c r="P133" s="32">
        <v>2070.5500000000002</v>
      </c>
    </row>
    <row r="134" spans="1:16" ht="14.1" customHeight="1" x14ac:dyDescent="0.25">
      <c r="A134" s="15" t="s">
        <v>233</v>
      </c>
      <c r="B134" s="16" t="s">
        <v>234</v>
      </c>
      <c r="C134" s="31">
        <v>25611.25</v>
      </c>
      <c r="D134" s="32">
        <v>2206.1999999999998</v>
      </c>
      <c r="E134" s="31">
        <v>159519.85</v>
      </c>
      <c r="F134" s="32">
        <v>10482.75</v>
      </c>
      <c r="G134" s="31">
        <v>27396.7</v>
      </c>
      <c r="H134" s="32">
        <v>0</v>
      </c>
      <c r="I134" s="31">
        <v>23482.5</v>
      </c>
      <c r="J134" s="32">
        <v>0</v>
      </c>
      <c r="K134" s="31">
        <v>12407.95</v>
      </c>
      <c r="L134" s="32">
        <v>1903.95</v>
      </c>
      <c r="M134" s="31">
        <v>17842.349999999999</v>
      </c>
      <c r="N134" s="32">
        <v>5493.45</v>
      </c>
      <c r="O134" s="31">
        <v>7821.6</v>
      </c>
      <c r="P134" s="32">
        <v>2144.75</v>
      </c>
    </row>
    <row r="135" spans="1:16" ht="14.1" customHeight="1" x14ac:dyDescent="0.25">
      <c r="A135" s="15" t="s">
        <v>235</v>
      </c>
      <c r="B135" s="16" t="s">
        <v>236</v>
      </c>
      <c r="C135" s="31">
        <v>50568.55</v>
      </c>
      <c r="D135" s="32">
        <v>0</v>
      </c>
      <c r="E135" s="31">
        <v>825766.35</v>
      </c>
      <c r="F135" s="32">
        <v>195.6</v>
      </c>
      <c r="G135" s="31">
        <v>88329.25</v>
      </c>
      <c r="H135" s="32">
        <v>0</v>
      </c>
      <c r="I135" s="31">
        <v>86775</v>
      </c>
      <c r="J135" s="32">
        <v>0</v>
      </c>
      <c r="K135" s="31">
        <v>55329.05</v>
      </c>
      <c r="L135" s="32">
        <v>6899.85</v>
      </c>
      <c r="M135" s="31">
        <v>70799.75</v>
      </c>
      <c r="N135" s="32">
        <v>9020.5499999999993</v>
      </c>
      <c r="O135" s="31">
        <v>123530.5</v>
      </c>
      <c r="P135" s="32">
        <v>5260</v>
      </c>
    </row>
    <row r="136" spans="1:16" ht="14.1" customHeight="1" x14ac:dyDescent="0.25">
      <c r="A136" s="15" t="s">
        <v>237</v>
      </c>
      <c r="B136" s="16" t="s">
        <v>238</v>
      </c>
      <c r="C136" s="31">
        <v>121685.85</v>
      </c>
      <c r="D136" s="32">
        <v>0</v>
      </c>
      <c r="E136" s="31">
        <v>1372614.6</v>
      </c>
      <c r="F136" s="32">
        <v>322721.90000000002</v>
      </c>
      <c r="G136" s="31">
        <v>260734</v>
      </c>
      <c r="H136" s="32">
        <v>0</v>
      </c>
      <c r="I136" s="31">
        <v>189637.25</v>
      </c>
      <c r="J136" s="32">
        <v>0</v>
      </c>
      <c r="K136" s="31">
        <v>78774.3</v>
      </c>
      <c r="L136" s="32">
        <v>0</v>
      </c>
      <c r="M136" s="31">
        <v>183904.8</v>
      </c>
      <c r="N136" s="32">
        <v>78926.2</v>
      </c>
      <c r="O136" s="31">
        <v>344948.7</v>
      </c>
      <c r="P136" s="32">
        <v>5002.2</v>
      </c>
    </row>
    <row r="137" spans="1:16" ht="14.1" customHeight="1" x14ac:dyDescent="0.25">
      <c r="A137" s="15" t="s">
        <v>239</v>
      </c>
      <c r="B137" s="16" t="s">
        <v>240</v>
      </c>
      <c r="C137" s="31">
        <v>92278.1</v>
      </c>
      <c r="D137" s="32">
        <v>120</v>
      </c>
      <c r="E137" s="31">
        <v>1177506.5</v>
      </c>
      <c r="F137" s="32">
        <v>83.6</v>
      </c>
      <c r="G137" s="31">
        <v>137350.95000000001</v>
      </c>
      <c r="H137" s="32">
        <v>0</v>
      </c>
      <c r="I137" s="31">
        <v>210742.9</v>
      </c>
      <c r="J137" s="32">
        <v>11805.3</v>
      </c>
      <c r="K137" s="31">
        <v>0</v>
      </c>
      <c r="L137" s="32">
        <v>0</v>
      </c>
      <c r="M137" s="31">
        <v>115389.95</v>
      </c>
      <c r="N137" s="32">
        <v>37320</v>
      </c>
      <c r="O137" s="31">
        <v>178794.9</v>
      </c>
      <c r="P137" s="32">
        <v>31724.7</v>
      </c>
    </row>
    <row r="138" spans="1:16" ht="14.1" customHeight="1" x14ac:dyDescent="0.25">
      <c r="A138" s="15" t="s">
        <v>241</v>
      </c>
      <c r="B138" s="16" t="s">
        <v>242</v>
      </c>
      <c r="C138" s="31">
        <v>686108.8</v>
      </c>
      <c r="D138" s="32">
        <v>0</v>
      </c>
      <c r="E138" s="31">
        <v>5604387.3499999996</v>
      </c>
      <c r="F138" s="32">
        <v>1607408.55</v>
      </c>
      <c r="G138" s="31">
        <v>1406234.44</v>
      </c>
      <c r="H138" s="32">
        <v>231975.55</v>
      </c>
      <c r="I138" s="31">
        <v>777461.9</v>
      </c>
      <c r="J138" s="32">
        <v>0</v>
      </c>
      <c r="K138" s="31">
        <v>391364.25</v>
      </c>
      <c r="L138" s="32">
        <v>0</v>
      </c>
      <c r="M138" s="31">
        <v>1554731.17</v>
      </c>
      <c r="N138" s="32">
        <v>652656.15</v>
      </c>
      <c r="O138" s="31">
        <v>1125723.3</v>
      </c>
      <c r="P138" s="32">
        <v>28125.9</v>
      </c>
    </row>
    <row r="139" spans="1:16" ht="14.1" customHeight="1" x14ac:dyDescent="0.25">
      <c r="A139" s="15" t="s">
        <v>243</v>
      </c>
      <c r="B139" s="16" t="s">
        <v>309</v>
      </c>
      <c r="C139" s="31">
        <v>82871.5</v>
      </c>
      <c r="D139" s="32">
        <v>0</v>
      </c>
      <c r="E139" s="31">
        <v>788020.15</v>
      </c>
      <c r="F139" s="32">
        <v>19168</v>
      </c>
      <c r="G139" s="31">
        <v>177471.4</v>
      </c>
      <c r="H139" s="32">
        <v>0</v>
      </c>
      <c r="I139" s="31">
        <f>127821.1+3607.2</f>
        <v>131428.30000000002</v>
      </c>
      <c r="J139" s="32">
        <v>0</v>
      </c>
      <c r="K139" s="31">
        <v>78199.350000000006</v>
      </c>
      <c r="L139" s="32">
        <v>0</v>
      </c>
      <c r="M139" s="31">
        <v>72443.199999999997</v>
      </c>
      <c r="N139" s="32">
        <v>6873.3</v>
      </c>
      <c r="O139" s="31">
        <v>152199.65</v>
      </c>
      <c r="P139" s="32">
        <v>202.25</v>
      </c>
    </row>
    <row r="140" spans="1:16" ht="14.1" customHeight="1" x14ac:dyDescent="0.25">
      <c r="A140" s="15" t="s">
        <v>244</v>
      </c>
      <c r="B140" s="16" t="s">
        <v>245</v>
      </c>
      <c r="C140" s="31">
        <v>103014.3</v>
      </c>
      <c r="D140" s="32">
        <v>41181.199999999997</v>
      </c>
      <c r="E140" s="31">
        <v>449426.4</v>
      </c>
      <c r="F140" s="32">
        <v>78408.95</v>
      </c>
      <c r="G140" s="31">
        <v>74814.8</v>
      </c>
      <c r="H140" s="32">
        <v>0</v>
      </c>
      <c r="I140" s="31">
        <v>61689.2</v>
      </c>
      <c r="J140" s="32">
        <v>0</v>
      </c>
      <c r="K140" s="31">
        <v>45211.55</v>
      </c>
      <c r="L140" s="32">
        <v>4928.8999999999996</v>
      </c>
      <c r="M140" s="31">
        <v>51204.1</v>
      </c>
      <c r="N140" s="32">
        <v>14646.4</v>
      </c>
      <c r="O140" s="31">
        <v>63010.25</v>
      </c>
      <c r="P140" s="32">
        <v>1046.3499999999999</v>
      </c>
    </row>
    <row r="141" spans="1:16" ht="14.1" customHeight="1" x14ac:dyDescent="0.25">
      <c r="A141" s="15" t="s">
        <v>246</v>
      </c>
      <c r="B141" s="16" t="s">
        <v>247</v>
      </c>
      <c r="C141" s="31">
        <v>34417.1</v>
      </c>
      <c r="D141" s="32">
        <v>0</v>
      </c>
      <c r="E141" s="31">
        <v>279668.2</v>
      </c>
      <c r="F141" s="32">
        <v>2483</v>
      </c>
      <c r="G141" s="31">
        <v>73615.95</v>
      </c>
      <c r="H141" s="32">
        <v>0</v>
      </c>
      <c r="I141" s="31">
        <v>54682.5</v>
      </c>
      <c r="J141" s="32">
        <v>0</v>
      </c>
      <c r="K141" s="31">
        <v>34077.25</v>
      </c>
      <c r="L141" s="32">
        <v>3711.45</v>
      </c>
      <c r="M141" s="31">
        <v>44359.75</v>
      </c>
      <c r="N141" s="32">
        <v>10572.1</v>
      </c>
      <c r="O141" s="31">
        <v>63516.2</v>
      </c>
      <c r="P141" s="32">
        <v>5900</v>
      </c>
    </row>
    <row r="142" spans="1:16" ht="14.1" customHeight="1" x14ac:dyDescent="0.25">
      <c r="A142" s="15" t="s">
        <v>248</v>
      </c>
      <c r="B142" s="16" t="s">
        <v>249</v>
      </c>
      <c r="C142" s="31">
        <v>51047.8</v>
      </c>
      <c r="D142" s="32">
        <v>4133.5</v>
      </c>
      <c r="E142" s="31">
        <v>455203.75</v>
      </c>
      <c r="F142" s="32">
        <v>4151.1000000000004</v>
      </c>
      <c r="G142" s="31">
        <v>101148.3</v>
      </c>
      <c r="H142" s="32">
        <v>0</v>
      </c>
      <c r="I142" s="31">
        <v>81691.25</v>
      </c>
      <c r="J142" s="32">
        <v>0</v>
      </c>
      <c r="K142" s="31">
        <v>40271.599999999999</v>
      </c>
      <c r="L142" s="32">
        <v>8457.35</v>
      </c>
      <c r="M142" s="31">
        <v>62450.3</v>
      </c>
      <c r="N142" s="32">
        <v>14979.2</v>
      </c>
      <c r="O142" s="31">
        <v>135416.1</v>
      </c>
      <c r="P142" s="32">
        <v>10884.2</v>
      </c>
    </row>
    <row r="143" spans="1:16" ht="14.1" customHeight="1" x14ac:dyDescent="0.25">
      <c r="A143" s="15" t="s">
        <v>250</v>
      </c>
      <c r="B143" s="16" t="s">
        <v>251</v>
      </c>
      <c r="C143" s="31">
        <v>162698.95000000001</v>
      </c>
      <c r="D143" s="32">
        <v>0</v>
      </c>
      <c r="E143" s="31">
        <v>1339594.95</v>
      </c>
      <c r="F143" s="32">
        <v>21482.85</v>
      </c>
      <c r="G143" s="31">
        <v>335236.65000000002</v>
      </c>
      <c r="H143" s="32">
        <v>0</v>
      </c>
      <c r="I143" s="31">
        <v>249168.6</v>
      </c>
      <c r="J143" s="32">
        <v>0</v>
      </c>
      <c r="K143" s="31">
        <v>132275.45000000001</v>
      </c>
      <c r="L143" s="32">
        <v>13382.8</v>
      </c>
      <c r="M143" s="31">
        <v>188978.95</v>
      </c>
      <c r="N143" s="32">
        <v>51924.35</v>
      </c>
      <c r="O143" s="31">
        <v>667024.44999999995</v>
      </c>
      <c r="P143" s="32">
        <v>141811.6</v>
      </c>
    </row>
    <row r="144" spans="1:16" ht="14.1" customHeight="1" x14ac:dyDescent="0.25">
      <c r="A144" s="15" t="s">
        <v>252</v>
      </c>
      <c r="B144" s="16" t="s">
        <v>253</v>
      </c>
      <c r="C144" s="31">
        <v>112891.35</v>
      </c>
      <c r="D144" s="32">
        <v>0</v>
      </c>
      <c r="E144" s="31">
        <v>978813.65</v>
      </c>
      <c r="F144" s="32">
        <v>9542.65</v>
      </c>
      <c r="G144" s="31">
        <v>228684.6</v>
      </c>
      <c r="H144" s="32">
        <v>0</v>
      </c>
      <c r="I144" s="31">
        <v>175850.65</v>
      </c>
      <c r="J144" s="32">
        <v>0</v>
      </c>
      <c r="K144" s="31">
        <v>121006.7</v>
      </c>
      <c r="L144" s="32">
        <v>26162.35</v>
      </c>
      <c r="M144" s="31">
        <v>135884.15</v>
      </c>
      <c r="N144" s="32">
        <v>45466.2</v>
      </c>
      <c r="O144" s="31">
        <v>595052.6</v>
      </c>
      <c r="P144" s="32">
        <v>1340</v>
      </c>
    </row>
    <row r="145" spans="1:16" ht="14.1" customHeight="1" x14ac:dyDescent="0.25">
      <c r="A145" s="33" t="s">
        <v>254</v>
      </c>
      <c r="B145" s="34" t="s">
        <v>255</v>
      </c>
      <c r="C145" s="35">
        <v>36784.9</v>
      </c>
      <c r="D145" s="36">
        <v>0</v>
      </c>
      <c r="E145" s="35">
        <v>440576.6</v>
      </c>
      <c r="F145" s="36">
        <v>38034.35</v>
      </c>
      <c r="G145" s="35">
        <v>77885.22</v>
      </c>
      <c r="H145" s="36">
        <v>0</v>
      </c>
      <c r="I145" s="35">
        <v>57206.8</v>
      </c>
      <c r="J145" s="36">
        <v>0</v>
      </c>
      <c r="K145" s="35">
        <v>25525.45</v>
      </c>
      <c r="L145" s="36">
        <v>0</v>
      </c>
      <c r="M145" s="35">
        <v>11381.9</v>
      </c>
      <c r="N145" s="36">
        <v>0</v>
      </c>
      <c r="O145" s="35">
        <v>63841.35</v>
      </c>
      <c r="P145" s="36">
        <v>41216.9</v>
      </c>
    </row>
    <row r="146" spans="1:16" ht="14.1" customHeight="1" x14ac:dyDescent="0.25">
      <c r="A146" s="15" t="s">
        <v>256</v>
      </c>
      <c r="B146" s="16" t="s">
        <v>336</v>
      </c>
      <c r="C146" s="31">
        <v>172912.9</v>
      </c>
      <c r="D146" s="32">
        <v>2100</v>
      </c>
      <c r="E146" s="31">
        <f>885401.52+398619.9</f>
        <v>1284021.42</v>
      </c>
      <c r="F146" s="32">
        <v>23100</v>
      </c>
      <c r="G146" s="31">
        <v>359474.4</v>
      </c>
      <c r="H146" s="32">
        <v>35383.5</v>
      </c>
      <c r="I146" s="31">
        <f>244852.9+37948.45</f>
        <v>282801.34999999998</v>
      </c>
      <c r="J146" s="32">
        <v>0</v>
      </c>
      <c r="K146" s="31">
        <v>181441.45</v>
      </c>
      <c r="L146" s="32">
        <v>0</v>
      </c>
      <c r="M146" s="31">
        <v>149171.75</v>
      </c>
      <c r="N146" s="32">
        <v>0</v>
      </c>
      <c r="O146" s="31">
        <v>144387.04999999999</v>
      </c>
      <c r="P146" s="32">
        <v>4331.95</v>
      </c>
    </row>
    <row r="147" spans="1:16" ht="14.1" customHeight="1" x14ac:dyDescent="0.25">
      <c r="A147" s="15" t="s">
        <v>257</v>
      </c>
      <c r="B147" s="16" t="s">
        <v>258</v>
      </c>
      <c r="C147" s="31">
        <v>91291.85</v>
      </c>
      <c r="D147" s="32">
        <v>0</v>
      </c>
      <c r="E147" s="31">
        <v>439564.55</v>
      </c>
      <c r="F147" s="32">
        <v>14560</v>
      </c>
      <c r="G147" s="31">
        <v>110263.75</v>
      </c>
      <c r="H147" s="32">
        <v>0</v>
      </c>
      <c r="I147" s="31">
        <f>81236.85+19142.9</f>
        <v>100379.75</v>
      </c>
      <c r="J147" s="32">
        <v>0</v>
      </c>
      <c r="K147" s="31">
        <v>47613.35</v>
      </c>
      <c r="L147" s="32">
        <v>0</v>
      </c>
      <c r="M147" s="31">
        <v>59424</v>
      </c>
      <c r="N147" s="32">
        <v>0</v>
      </c>
      <c r="O147" s="31">
        <v>57693.25</v>
      </c>
      <c r="P147" s="32">
        <v>1350</v>
      </c>
    </row>
    <row r="148" spans="1:16" ht="14.1" customHeight="1" x14ac:dyDescent="0.25">
      <c r="A148" s="15" t="s">
        <v>259</v>
      </c>
      <c r="B148" s="16" t="s">
        <v>260</v>
      </c>
      <c r="C148" s="31">
        <v>638178.75</v>
      </c>
      <c r="D148" s="32">
        <v>0</v>
      </c>
      <c r="E148" s="31">
        <v>5996583.25</v>
      </c>
      <c r="F148" s="32">
        <v>0</v>
      </c>
      <c r="G148" s="31">
        <v>1390184.5</v>
      </c>
      <c r="H148" s="32">
        <v>157209.95000000001</v>
      </c>
      <c r="I148" s="31">
        <v>1536630.8</v>
      </c>
      <c r="J148" s="32">
        <v>0</v>
      </c>
      <c r="K148" s="31">
        <v>720653</v>
      </c>
      <c r="L148" s="32">
        <v>0</v>
      </c>
      <c r="M148" s="31">
        <v>2611383.62</v>
      </c>
      <c r="N148" s="32">
        <v>1685039.75</v>
      </c>
      <c r="O148" s="31">
        <v>1008762.08</v>
      </c>
      <c r="P148" s="32">
        <v>150200.54999999999</v>
      </c>
    </row>
    <row r="149" spans="1:16" ht="14.1" customHeight="1" x14ac:dyDescent="0.25">
      <c r="A149" s="15" t="s">
        <v>261</v>
      </c>
      <c r="B149" s="16" t="s">
        <v>262</v>
      </c>
      <c r="C149" s="31">
        <v>122494.6</v>
      </c>
      <c r="D149" s="32">
        <v>0</v>
      </c>
      <c r="E149" s="31">
        <f>731570.4+366811.8</f>
        <v>1098382.2</v>
      </c>
      <c r="F149" s="32">
        <v>71346.75</v>
      </c>
      <c r="G149" s="31">
        <v>310522.95</v>
      </c>
      <c r="H149" s="32">
        <v>72914.7</v>
      </c>
      <c r="I149" s="31">
        <f>216426.05+33487.7</f>
        <v>249913.75</v>
      </c>
      <c r="J149" s="32">
        <v>0</v>
      </c>
      <c r="K149" s="31">
        <v>127559.25</v>
      </c>
      <c r="L149" s="32">
        <v>0</v>
      </c>
      <c r="M149" s="31">
        <v>285914.09999999998</v>
      </c>
      <c r="N149" s="32">
        <v>142801.95000000001</v>
      </c>
      <c r="O149" s="31">
        <v>437847.25</v>
      </c>
      <c r="P149" s="32">
        <v>135581.54999999999</v>
      </c>
    </row>
    <row r="150" spans="1:16" ht="14.1" customHeight="1" x14ac:dyDescent="0.25">
      <c r="A150" s="15" t="s">
        <v>263</v>
      </c>
      <c r="B150" s="16" t="s">
        <v>264</v>
      </c>
      <c r="C150" s="31">
        <v>280023.59999999998</v>
      </c>
      <c r="D150" s="32">
        <v>0</v>
      </c>
      <c r="E150" s="31">
        <f>1427149.1+933417.1</f>
        <v>2360566.2000000002</v>
      </c>
      <c r="F150" s="32">
        <v>0</v>
      </c>
      <c r="G150" s="31">
        <v>653064.5</v>
      </c>
      <c r="H150" s="32">
        <v>79112.2</v>
      </c>
      <c r="I150" s="31">
        <v>657716.30000000005</v>
      </c>
      <c r="J150" s="32">
        <v>0</v>
      </c>
      <c r="K150" s="31">
        <v>238931.65</v>
      </c>
      <c r="L150" s="32">
        <v>0</v>
      </c>
      <c r="M150" s="31">
        <v>439517.73</v>
      </c>
      <c r="N150" s="32">
        <v>162697.25</v>
      </c>
      <c r="O150" s="31">
        <v>142640.04999999999</v>
      </c>
      <c r="P150" s="32">
        <v>2398</v>
      </c>
    </row>
    <row r="151" spans="1:16" ht="14.1" customHeight="1" x14ac:dyDescent="0.25">
      <c r="A151" s="15" t="s">
        <v>265</v>
      </c>
      <c r="B151" s="16" t="s">
        <v>266</v>
      </c>
      <c r="C151" s="31">
        <v>103459</v>
      </c>
      <c r="D151" s="32">
        <v>0</v>
      </c>
      <c r="E151" s="31">
        <v>859731.44</v>
      </c>
      <c r="F151" s="32">
        <v>105354.3</v>
      </c>
      <c r="G151" s="31">
        <v>254134.45</v>
      </c>
      <c r="H151" s="32">
        <v>37118.699999999997</v>
      </c>
      <c r="I151" s="31">
        <f>175270.2+25101.05</f>
        <v>200371.25</v>
      </c>
      <c r="J151" s="32">
        <v>5101</v>
      </c>
      <c r="K151" s="31">
        <v>69788.399999999994</v>
      </c>
      <c r="L151" s="32">
        <v>0</v>
      </c>
      <c r="M151" s="31">
        <v>148725</v>
      </c>
      <c r="N151" s="32">
        <v>0</v>
      </c>
      <c r="O151" s="31">
        <v>168997.45</v>
      </c>
      <c r="P151" s="32">
        <v>4897.8500000000004</v>
      </c>
    </row>
    <row r="152" spans="1:16" ht="14.1" customHeight="1" x14ac:dyDescent="0.25">
      <c r="A152" s="15" t="s">
        <v>267</v>
      </c>
      <c r="B152" s="16" t="s">
        <v>268</v>
      </c>
      <c r="C152" s="31">
        <v>92934.55</v>
      </c>
      <c r="D152" s="32">
        <v>0</v>
      </c>
      <c r="E152" s="31">
        <v>996087.12</v>
      </c>
      <c r="F152" s="32">
        <v>0</v>
      </c>
      <c r="G152" s="31">
        <v>196299.85</v>
      </c>
      <c r="H152" s="32">
        <v>0</v>
      </c>
      <c r="I152" s="31">
        <f>149689.25+31099.45</f>
        <v>180788.7</v>
      </c>
      <c r="J152" s="32">
        <v>0</v>
      </c>
      <c r="K152" s="31">
        <v>115848.65</v>
      </c>
      <c r="L152" s="32">
        <v>0</v>
      </c>
      <c r="M152" s="31">
        <v>86739.25</v>
      </c>
      <c r="N152" s="32">
        <v>3743.5</v>
      </c>
      <c r="O152" s="31">
        <v>144931.75</v>
      </c>
      <c r="P152" s="32">
        <v>13319.75</v>
      </c>
    </row>
    <row r="153" spans="1:16" ht="14.1" customHeight="1" x14ac:dyDescent="0.25">
      <c r="A153" s="15" t="s">
        <v>269</v>
      </c>
      <c r="B153" s="16" t="s">
        <v>270</v>
      </c>
      <c r="C153" s="31">
        <v>162022.35</v>
      </c>
      <c r="D153" s="32">
        <v>0</v>
      </c>
      <c r="E153" s="31">
        <v>2310755.91</v>
      </c>
      <c r="F153" s="32">
        <v>808508</v>
      </c>
      <c r="G153" s="31">
        <v>514596.43</v>
      </c>
      <c r="H153" s="32">
        <v>188870.25</v>
      </c>
      <c r="I153" s="31">
        <v>352372.5</v>
      </c>
      <c r="J153" s="32">
        <v>0</v>
      </c>
      <c r="K153" s="31">
        <v>213912.45</v>
      </c>
      <c r="L153" s="32">
        <v>0</v>
      </c>
      <c r="M153" s="31">
        <v>213518.5</v>
      </c>
      <c r="N153" s="32">
        <v>18851.95</v>
      </c>
      <c r="O153" s="31">
        <v>482948.52</v>
      </c>
      <c r="P153" s="32">
        <v>28174.45</v>
      </c>
    </row>
    <row r="154" spans="1:16" ht="14.1" customHeight="1" x14ac:dyDescent="0.25">
      <c r="A154" s="15" t="s">
        <v>271</v>
      </c>
      <c r="B154" s="16" t="s">
        <v>272</v>
      </c>
      <c r="C154" s="31">
        <v>87939.45</v>
      </c>
      <c r="D154" s="32">
        <v>0</v>
      </c>
      <c r="E154" s="31">
        <v>713676.18</v>
      </c>
      <c r="F154" s="32">
        <v>2121.9</v>
      </c>
      <c r="G154" s="31">
        <v>174414.2</v>
      </c>
      <c r="H154" s="32">
        <v>0</v>
      </c>
      <c r="I154" s="31">
        <f>137209.7+27357</f>
        <v>164566.70000000001</v>
      </c>
      <c r="J154" s="32">
        <v>2557.64</v>
      </c>
      <c r="K154" s="31">
        <v>86159.14</v>
      </c>
      <c r="L154" s="32">
        <v>0</v>
      </c>
      <c r="M154" s="31">
        <v>121993.35</v>
      </c>
      <c r="N154" s="32">
        <v>17203</v>
      </c>
      <c r="O154" s="31">
        <v>244701.8</v>
      </c>
      <c r="P154" s="32">
        <v>122734.35</v>
      </c>
    </row>
    <row r="155" spans="1:16" ht="14.1" customHeight="1" x14ac:dyDescent="0.25">
      <c r="A155" s="15" t="s">
        <v>273</v>
      </c>
      <c r="B155" s="16" t="s">
        <v>274</v>
      </c>
      <c r="C155" s="31">
        <v>95817.25</v>
      </c>
      <c r="D155" s="32">
        <v>35000</v>
      </c>
      <c r="E155" s="31">
        <v>825411.09</v>
      </c>
      <c r="F155" s="32">
        <v>12368</v>
      </c>
      <c r="G155" s="31">
        <v>212013.85</v>
      </c>
      <c r="H155" s="32">
        <v>23039.35</v>
      </c>
      <c r="I155" s="31">
        <f>158109.8+2072.7</f>
        <v>160182.5</v>
      </c>
      <c r="J155" s="32">
        <v>3683.75</v>
      </c>
      <c r="K155" s="31">
        <v>140216.1</v>
      </c>
      <c r="L155" s="32">
        <v>0</v>
      </c>
      <c r="M155" s="31">
        <v>101683.05</v>
      </c>
      <c r="N155" s="32">
        <v>11073.3</v>
      </c>
      <c r="O155" s="31">
        <v>136051.70000000001</v>
      </c>
      <c r="P155" s="32">
        <v>6271.7</v>
      </c>
    </row>
    <row r="156" spans="1:16" ht="14.1" customHeight="1" x14ac:dyDescent="0.25">
      <c r="A156" s="15" t="s">
        <v>275</v>
      </c>
      <c r="B156" s="16" t="s">
        <v>276</v>
      </c>
      <c r="C156" s="31">
        <v>171803.05</v>
      </c>
      <c r="D156" s="32">
        <v>0</v>
      </c>
      <c r="E156" s="31">
        <v>1513864.6</v>
      </c>
      <c r="F156" s="32">
        <v>20179.400000000001</v>
      </c>
      <c r="G156" s="31">
        <v>370713.4</v>
      </c>
      <c r="H156" s="32">
        <v>46139.9</v>
      </c>
      <c r="I156" s="31">
        <f>257643.75+51230.75</f>
        <v>308874.5</v>
      </c>
      <c r="J156" s="32">
        <v>0</v>
      </c>
      <c r="K156" s="31">
        <v>152006.5</v>
      </c>
      <c r="L156" s="32">
        <v>0</v>
      </c>
      <c r="M156" s="31">
        <v>219916.18</v>
      </c>
      <c r="N156" s="32">
        <v>0</v>
      </c>
      <c r="O156" s="31">
        <v>445942.1</v>
      </c>
      <c r="P156" s="32">
        <v>12469.6</v>
      </c>
    </row>
    <row r="157" spans="1:16" ht="14.1" customHeight="1" x14ac:dyDescent="0.25">
      <c r="A157" s="15" t="s">
        <v>277</v>
      </c>
      <c r="B157" s="16" t="s">
        <v>278</v>
      </c>
      <c r="C157" s="31">
        <v>79767.05</v>
      </c>
      <c r="D157" s="32">
        <v>0</v>
      </c>
      <c r="E157" s="31">
        <v>652696.35</v>
      </c>
      <c r="F157" s="32">
        <v>9924.2000000000007</v>
      </c>
      <c r="G157" s="31">
        <v>173993.3</v>
      </c>
      <c r="H157" s="32">
        <v>18466.150000000001</v>
      </c>
      <c r="I157" s="31">
        <v>122608.8</v>
      </c>
      <c r="J157" s="32">
        <v>1980.15</v>
      </c>
      <c r="K157" s="31">
        <v>104262.7</v>
      </c>
      <c r="L157" s="32">
        <v>0</v>
      </c>
      <c r="M157" s="31">
        <v>95035</v>
      </c>
      <c r="N157" s="32">
        <v>0</v>
      </c>
      <c r="O157" s="31">
        <v>32425.4</v>
      </c>
      <c r="P157" s="32">
        <v>5172.5</v>
      </c>
    </row>
    <row r="158" spans="1:16" ht="14.1" customHeight="1" x14ac:dyDescent="0.25">
      <c r="A158" s="15" t="s">
        <v>279</v>
      </c>
      <c r="B158" s="16" t="s">
        <v>280</v>
      </c>
      <c r="C158" s="31">
        <v>111803.68</v>
      </c>
      <c r="D158" s="32">
        <v>0</v>
      </c>
      <c r="E158" s="31">
        <f>579297.02+241703.95+2455.6</f>
        <v>823456.57</v>
      </c>
      <c r="F158" s="32">
        <v>2137.85</v>
      </c>
      <c r="G158" s="31">
        <v>241523.05</v>
      </c>
      <c r="H158" s="32">
        <v>26288.15</v>
      </c>
      <c r="I158" s="31">
        <f>176345.05+11691</f>
        <v>188036.05</v>
      </c>
      <c r="J158" s="32">
        <v>0</v>
      </c>
      <c r="K158" s="31">
        <v>150448.4</v>
      </c>
      <c r="L158" s="32">
        <v>0</v>
      </c>
      <c r="M158" s="31">
        <f>124571.4+18765</f>
        <v>143336.4</v>
      </c>
      <c r="N158" s="32">
        <v>0</v>
      </c>
      <c r="O158" s="31">
        <v>125013.55</v>
      </c>
      <c r="P158" s="32">
        <v>91146</v>
      </c>
    </row>
    <row r="159" spans="1:16" ht="14.1" customHeight="1" x14ac:dyDescent="0.25">
      <c r="A159" s="15" t="s">
        <v>281</v>
      </c>
      <c r="B159" s="16" t="s">
        <v>282</v>
      </c>
      <c r="C159" s="31">
        <v>357448.35</v>
      </c>
      <c r="D159" s="32">
        <v>0</v>
      </c>
      <c r="E159" s="31">
        <v>3290540.4</v>
      </c>
      <c r="F159" s="32">
        <v>1381</v>
      </c>
      <c r="G159" s="31">
        <v>781000.65</v>
      </c>
      <c r="H159" s="32">
        <v>86746.25</v>
      </c>
      <c r="I159" s="31">
        <v>749387.7</v>
      </c>
      <c r="J159" s="32">
        <v>0</v>
      </c>
      <c r="K159" s="31">
        <v>368657.45</v>
      </c>
      <c r="L159" s="32">
        <v>0</v>
      </c>
      <c r="M159" s="31">
        <v>1337714.1000000001</v>
      </c>
      <c r="N159" s="32">
        <v>793524.95</v>
      </c>
      <c r="O159" s="31">
        <v>505868.35</v>
      </c>
      <c r="P159" s="32">
        <v>4482.55</v>
      </c>
    </row>
    <row r="160" spans="1:16" ht="14.1" customHeight="1" x14ac:dyDescent="0.25">
      <c r="A160" s="15" t="s">
        <v>283</v>
      </c>
      <c r="B160" s="16" t="s">
        <v>284</v>
      </c>
      <c r="C160" s="31">
        <v>239690</v>
      </c>
      <c r="D160" s="32">
        <v>21000</v>
      </c>
      <c r="E160" s="31">
        <v>2298887.2200000002</v>
      </c>
      <c r="F160" s="32">
        <v>36700</v>
      </c>
      <c r="G160" s="31">
        <v>637861.44999999995</v>
      </c>
      <c r="H160" s="32">
        <v>167146.5</v>
      </c>
      <c r="I160" s="31">
        <f>390882.7+57487.2</f>
        <v>448369.9</v>
      </c>
      <c r="J160" s="32">
        <v>0</v>
      </c>
      <c r="K160" s="31">
        <v>274117.05</v>
      </c>
      <c r="L160" s="32">
        <v>0</v>
      </c>
      <c r="M160" s="31">
        <v>319554.59999999998</v>
      </c>
      <c r="N160" s="32">
        <v>0</v>
      </c>
      <c r="O160" s="31">
        <v>361077.85</v>
      </c>
      <c r="P160" s="32">
        <v>0</v>
      </c>
    </row>
    <row r="161" spans="1:16" ht="14.1" customHeight="1" x14ac:dyDescent="0.25">
      <c r="A161" s="15" t="s">
        <v>285</v>
      </c>
      <c r="B161" s="16" t="s">
        <v>286</v>
      </c>
      <c r="C161" s="31">
        <v>101898.25</v>
      </c>
      <c r="D161" s="32">
        <v>0</v>
      </c>
      <c r="E161" s="31">
        <f>600696.4+353707.8</f>
        <v>954404.2</v>
      </c>
      <c r="F161" s="32">
        <v>4830</v>
      </c>
      <c r="G161" s="31">
        <v>177411.45</v>
      </c>
      <c r="H161" s="32">
        <v>0</v>
      </c>
      <c r="I161" s="31">
        <v>160771.85</v>
      </c>
      <c r="J161" s="32">
        <v>0</v>
      </c>
      <c r="K161" s="31">
        <v>112059.2</v>
      </c>
      <c r="L161" s="32">
        <v>0</v>
      </c>
      <c r="M161" s="31">
        <f>154503.5+18270</f>
        <v>172773.5</v>
      </c>
      <c r="N161" s="32">
        <v>24109.5</v>
      </c>
      <c r="O161" s="31">
        <v>192987.45</v>
      </c>
      <c r="P161" s="32">
        <v>1990</v>
      </c>
    </row>
    <row r="162" spans="1:16" ht="14.1" customHeight="1" x14ac:dyDescent="0.25">
      <c r="A162" s="15" t="s">
        <v>287</v>
      </c>
      <c r="B162" s="16" t="s">
        <v>308</v>
      </c>
      <c r="C162" s="31">
        <v>204233.1</v>
      </c>
      <c r="D162" s="32">
        <v>0</v>
      </c>
      <c r="E162" s="31">
        <v>1815174.65</v>
      </c>
      <c r="F162" s="32">
        <v>60914.3</v>
      </c>
      <c r="G162" s="31">
        <v>447868.8</v>
      </c>
      <c r="H162" s="32">
        <v>44554.75</v>
      </c>
      <c r="I162" s="31">
        <v>462162.65</v>
      </c>
      <c r="J162" s="32">
        <v>0</v>
      </c>
      <c r="K162" s="31">
        <v>183330.01</v>
      </c>
      <c r="L162" s="32">
        <v>0</v>
      </c>
      <c r="M162" s="31">
        <v>202765.45</v>
      </c>
      <c r="N162" s="32">
        <v>0</v>
      </c>
      <c r="O162" s="31">
        <v>385065.15</v>
      </c>
      <c r="P162" s="32">
        <v>46151.25</v>
      </c>
    </row>
    <row r="163" spans="1:16" ht="14.1" customHeight="1" x14ac:dyDescent="0.25">
      <c r="A163" s="15" t="s">
        <v>288</v>
      </c>
      <c r="B163" s="16" t="s">
        <v>289</v>
      </c>
      <c r="C163" s="31">
        <v>462642.8</v>
      </c>
      <c r="D163" s="32">
        <v>0</v>
      </c>
      <c r="E163" s="31">
        <f>2343518.07+1642346.1+109355.15</f>
        <v>4095219.32</v>
      </c>
      <c r="F163" s="32">
        <f>41854.2+3867.5</f>
        <v>45721.7</v>
      </c>
      <c r="G163" s="31">
        <v>1091999.3500000001</v>
      </c>
      <c r="H163" s="32">
        <v>149877.29999999999</v>
      </c>
      <c r="I163" s="31">
        <v>1063704.8500000001</v>
      </c>
      <c r="J163" s="32">
        <v>0</v>
      </c>
      <c r="K163" s="31">
        <v>478741.45</v>
      </c>
      <c r="L163" s="32">
        <v>0</v>
      </c>
      <c r="M163" s="31">
        <f>1892162.36+64592.25+88580</f>
        <v>2045334.61</v>
      </c>
      <c r="N163" s="32">
        <f>1180319.76+204115.5</f>
        <v>1384435.26</v>
      </c>
      <c r="O163" s="31">
        <v>589048.80000000005</v>
      </c>
      <c r="P163" s="32">
        <v>7087.65</v>
      </c>
    </row>
    <row r="164" spans="1:16" ht="14.1" customHeight="1" x14ac:dyDescent="0.25">
      <c r="A164" s="33" t="s">
        <v>290</v>
      </c>
      <c r="B164" s="34" t="s">
        <v>291</v>
      </c>
      <c r="C164" s="35">
        <v>39053.9</v>
      </c>
      <c r="D164" s="36">
        <v>0</v>
      </c>
      <c r="E164" s="35">
        <v>314915.49</v>
      </c>
      <c r="F164" s="36">
        <v>0</v>
      </c>
      <c r="G164" s="35">
        <v>72827.95</v>
      </c>
      <c r="H164" s="36">
        <v>0</v>
      </c>
      <c r="I164" s="35">
        <f>57794.85+11392</f>
        <v>69186.850000000006</v>
      </c>
      <c r="J164" s="36">
        <v>2015</v>
      </c>
      <c r="K164" s="35">
        <v>77111.600000000006</v>
      </c>
      <c r="L164" s="36">
        <v>0</v>
      </c>
      <c r="M164" s="35">
        <v>49594.95</v>
      </c>
      <c r="N164" s="36">
        <v>4280.6499999999996</v>
      </c>
      <c r="O164" s="35">
        <v>29612.55</v>
      </c>
      <c r="P164" s="36">
        <v>9324</v>
      </c>
    </row>
    <row r="165" spans="1:16" ht="14.1" customHeight="1" x14ac:dyDescent="0.25">
      <c r="A165" s="15" t="s">
        <v>292</v>
      </c>
      <c r="B165" s="16" t="s">
        <v>337</v>
      </c>
      <c r="C165" s="31">
        <v>257985.25</v>
      </c>
      <c r="D165" s="32">
        <v>2797.75</v>
      </c>
      <c r="E165" s="31">
        <f>1307264.85+51328.9+712491.8</f>
        <v>2071085.55</v>
      </c>
      <c r="F165" s="32">
        <f>299786.35+51328.9</f>
        <v>351115.25</v>
      </c>
      <c r="G165" s="31">
        <v>530902.65</v>
      </c>
      <c r="H165" s="32">
        <v>0</v>
      </c>
      <c r="I165" s="31">
        <v>468888.9</v>
      </c>
      <c r="J165" s="32">
        <v>0</v>
      </c>
      <c r="K165" s="31">
        <v>251535.94</v>
      </c>
      <c r="L165" s="32">
        <v>4416.95</v>
      </c>
      <c r="M165" s="31">
        <v>341734.65</v>
      </c>
      <c r="N165" s="32">
        <v>0</v>
      </c>
      <c r="O165" s="31">
        <v>870924.27</v>
      </c>
      <c r="P165" s="32">
        <v>26715.15</v>
      </c>
    </row>
    <row r="166" spans="1:16" ht="14.1" customHeight="1" x14ac:dyDescent="0.25">
      <c r="A166" s="15" t="s">
        <v>293</v>
      </c>
      <c r="B166" s="16" t="s">
        <v>294</v>
      </c>
      <c r="C166" s="31">
        <v>110185.35</v>
      </c>
      <c r="D166" s="32">
        <v>0</v>
      </c>
      <c r="E166" s="31">
        <v>893557.25</v>
      </c>
      <c r="F166" s="32">
        <v>32395.35</v>
      </c>
      <c r="G166" s="31">
        <v>236423.1</v>
      </c>
      <c r="H166" s="32">
        <v>0</v>
      </c>
      <c r="I166" s="31">
        <v>211949.8</v>
      </c>
      <c r="J166" s="32">
        <v>0</v>
      </c>
      <c r="K166" s="31">
        <v>111656.55</v>
      </c>
      <c r="L166" s="32">
        <v>0</v>
      </c>
      <c r="M166" s="31">
        <v>150042.5</v>
      </c>
      <c r="N166" s="32">
        <v>0</v>
      </c>
      <c r="O166" s="31">
        <v>320591.40000000002</v>
      </c>
      <c r="P166" s="32">
        <v>17280</v>
      </c>
    </row>
    <row r="167" spans="1:16" ht="14.1" customHeight="1" x14ac:dyDescent="0.25">
      <c r="A167" s="15" t="s">
        <v>295</v>
      </c>
      <c r="B167" s="16" t="s">
        <v>296</v>
      </c>
      <c r="C167" s="31">
        <v>478371.9</v>
      </c>
      <c r="D167" s="32">
        <v>0</v>
      </c>
      <c r="E167" s="31">
        <v>4390431.3</v>
      </c>
      <c r="F167" s="32">
        <v>195249.15</v>
      </c>
      <c r="G167" s="31">
        <v>1060185.6000000001</v>
      </c>
      <c r="H167" s="32">
        <v>0</v>
      </c>
      <c r="I167" s="31">
        <v>911749.25</v>
      </c>
      <c r="J167" s="32">
        <v>0</v>
      </c>
      <c r="K167" s="31">
        <v>642274.4</v>
      </c>
      <c r="L167" s="32">
        <v>86355.8</v>
      </c>
      <c r="M167" s="31">
        <v>1353989.3</v>
      </c>
      <c r="N167" s="32">
        <v>885526.05</v>
      </c>
      <c r="O167" s="31">
        <v>3796601.05</v>
      </c>
      <c r="P167" s="32">
        <v>1305101.8999999999</v>
      </c>
    </row>
    <row r="168" spans="1:16" ht="14.1" customHeight="1" x14ac:dyDescent="0.25">
      <c r="A168" s="15" t="s">
        <v>298</v>
      </c>
      <c r="B168" s="16" t="s">
        <v>299</v>
      </c>
      <c r="C168" s="31">
        <v>68242.2</v>
      </c>
      <c r="D168" s="32">
        <v>0</v>
      </c>
      <c r="E168" s="31">
        <f>249.4+60+331513.75+269167.76+211022.5</f>
        <v>812013.41</v>
      </c>
      <c r="F168" s="32">
        <v>800</v>
      </c>
      <c r="G168" s="31">
        <v>146801.45000000001</v>
      </c>
      <c r="H168" s="32">
        <v>0</v>
      </c>
      <c r="I168" s="31">
        <v>129069.2</v>
      </c>
      <c r="J168" s="32">
        <v>0</v>
      </c>
      <c r="K168" s="31">
        <v>70732</v>
      </c>
      <c r="L168" s="32">
        <v>0</v>
      </c>
      <c r="M168" s="31">
        <v>95624.3</v>
      </c>
      <c r="N168" s="32">
        <v>1871.9</v>
      </c>
      <c r="O168" s="31">
        <v>190407.74</v>
      </c>
      <c r="P168" s="32">
        <v>44854.9</v>
      </c>
    </row>
    <row r="169" spans="1:16" ht="14.1" customHeight="1" x14ac:dyDescent="0.25">
      <c r="A169" s="15" t="s">
        <v>301</v>
      </c>
      <c r="B169" s="16" t="s">
        <v>302</v>
      </c>
      <c r="C169" s="31">
        <v>75345.5</v>
      </c>
      <c r="D169" s="32">
        <v>0</v>
      </c>
      <c r="E169" s="31">
        <v>585029.30000000005</v>
      </c>
      <c r="F169" s="32">
        <v>6399</v>
      </c>
      <c r="G169" s="31">
        <v>159516.79999999999</v>
      </c>
      <c r="H169" s="32">
        <v>0</v>
      </c>
      <c r="I169" s="31">
        <v>130934.7</v>
      </c>
      <c r="J169" s="32">
        <v>0</v>
      </c>
      <c r="K169" s="31">
        <v>67217.55</v>
      </c>
      <c r="L169" s="32">
        <v>0</v>
      </c>
      <c r="M169" s="31">
        <v>101549.55</v>
      </c>
      <c r="N169" s="32">
        <v>0</v>
      </c>
      <c r="O169" s="31">
        <v>162040.9</v>
      </c>
      <c r="P169" s="32">
        <v>0</v>
      </c>
    </row>
    <row r="170" spans="1:16" ht="14.1" customHeight="1" x14ac:dyDescent="0.25">
      <c r="A170" s="15" t="s">
        <v>303</v>
      </c>
      <c r="B170" s="16" t="s">
        <v>304</v>
      </c>
      <c r="C170" s="31">
        <v>76529.399999999994</v>
      </c>
      <c r="D170" s="32">
        <v>0</v>
      </c>
      <c r="E170" s="31">
        <v>655177.55000000005</v>
      </c>
      <c r="F170" s="32">
        <v>42730</v>
      </c>
      <c r="G170" s="31">
        <v>138052.4</v>
      </c>
      <c r="H170" s="32">
        <v>0</v>
      </c>
      <c r="I170" s="31">
        <v>174500.25</v>
      </c>
      <c r="J170" s="32">
        <v>0</v>
      </c>
      <c r="K170" s="31">
        <v>64322.05</v>
      </c>
      <c r="L170" s="32">
        <v>0</v>
      </c>
      <c r="M170" s="31">
        <v>84300.15</v>
      </c>
      <c r="N170" s="32">
        <v>21205.35</v>
      </c>
      <c r="O170" s="31">
        <v>205699.05</v>
      </c>
      <c r="P170" s="32">
        <v>5162.8500000000004</v>
      </c>
    </row>
    <row r="171" spans="1:16" ht="14.1" customHeight="1" x14ac:dyDescent="0.25">
      <c r="A171" s="15" t="s">
        <v>305</v>
      </c>
      <c r="B171" s="16" t="s">
        <v>306</v>
      </c>
      <c r="C171" s="31">
        <v>96063.4</v>
      </c>
      <c r="D171" s="32">
        <v>0</v>
      </c>
      <c r="E171" s="31">
        <v>782622.45</v>
      </c>
      <c r="F171" s="32">
        <v>47586.1</v>
      </c>
      <c r="G171" s="31">
        <v>209074.35</v>
      </c>
      <c r="H171" s="32">
        <v>0</v>
      </c>
      <c r="I171" s="31">
        <v>201620</v>
      </c>
      <c r="J171" s="32">
        <v>0</v>
      </c>
      <c r="K171" s="31">
        <v>81520.25</v>
      </c>
      <c r="L171" s="32">
        <v>0</v>
      </c>
      <c r="M171" s="31">
        <v>124331.5</v>
      </c>
      <c r="N171" s="32">
        <v>18205.900000000001</v>
      </c>
      <c r="O171" s="31">
        <v>292539.2</v>
      </c>
      <c r="P171" s="32">
        <v>46990.85</v>
      </c>
    </row>
    <row r="172" spans="1:16" ht="14.1" customHeight="1" x14ac:dyDescent="0.25">
      <c r="A172" s="15">
        <v>2337</v>
      </c>
      <c r="B172" s="16" t="s">
        <v>300</v>
      </c>
      <c r="C172" s="31">
        <v>87945.4</v>
      </c>
      <c r="D172" s="32">
        <v>0</v>
      </c>
      <c r="E172" s="31">
        <v>609442.44999999995</v>
      </c>
      <c r="F172" s="32">
        <v>0</v>
      </c>
      <c r="G172" s="31">
        <v>176638.1</v>
      </c>
      <c r="H172" s="32">
        <v>0</v>
      </c>
      <c r="I172" s="31">
        <v>189026.55</v>
      </c>
      <c r="J172" s="32">
        <v>0</v>
      </c>
      <c r="K172" s="31">
        <v>75654.05</v>
      </c>
      <c r="L172" s="32">
        <v>0</v>
      </c>
      <c r="M172" s="31">
        <v>86175.1</v>
      </c>
      <c r="N172" s="32">
        <v>471</v>
      </c>
      <c r="O172" s="31">
        <v>93920.55</v>
      </c>
      <c r="P172" s="32">
        <v>10971.7</v>
      </c>
    </row>
    <row r="173" spans="1:16" ht="14.1" customHeight="1" x14ac:dyDescent="0.25">
      <c r="A173" s="15">
        <v>2338</v>
      </c>
      <c r="B173" s="16" t="s">
        <v>297</v>
      </c>
      <c r="C173" s="31">
        <v>90651.4</v>
      </c>
      <c r="D173" s="32">
        <v>0</v>
      </c>
      <c r="E173" s="31">
        <v>653776.4</v>
      </c>
      <c r="F173" s="32">
        <v>7700</v>
      </c>
      <c r="G173" s="31">
        <v>186933.3</v>
      </c>
      <c r="H173" s="32">
        <v>0</v>
      </c>
      <c r="I173" s="31">
        <v>191135.65</v>
      </c>
      <c r="J173" s="32">
        <v>0</v>
      </c>
      <c r="K173" s="31">
        <v>67885.45</v>
      </c>
      <c r="L173" s="32">
        <v>0</v>
      </c>
      <c r="M173" s="31">
        <v>395785.2</v>
      </c>
      <c r="N173" s="32">
        <v>310969.15000000002</v>
      </c>
      <c r="O173" s="31">
        <v>161270.9</v>
      </c>
      <c r="P173" s="32">
        <v>42396.95</v>
      </c>
    </row>
    <row r="174" spans="1:16" ht="14.1" customHeight="1" x14ac:dyDescent="0.25">
      <c r="A174" s="17"/>
      <c r="B174" s="18"/>
      <c r="C174" s="9"/>
      <c r="D174" s="9"/>
      <c r="E174" s="9"/>
      <c r="F174" s="9"/>
      <c r="G174" s="9"/>
      <c r="H174" s="9"/>
      <c r="I174" s="9"/>
      <c r="J174" s="9"/>
      <c r="K174" s="9"/>
      <c r="L174" s="9"/>
      <c r="M174" s="9"/>
      <c r="N174" s="9"/>
      <c r="O174" s="9"/>
      <c r="P174" s="9"/>
    </row>
    <row r="175" spans="1:16" s="3" customFormat="1" ht="14.1" customHeight="1" x14ac:dyDescent="0.25">
      <c r="A175" s="17"/>
      <c r="B175" s="18" t="s">
        <v>316</v>
      </c>
      <c r="C175" s="10">
        <f t="shared" ref="C175:N175" si="0">SUM(C7:C173)</f>
        <v>25455882.320000008</v>
      </c>
      <c r="D175" s="10">
        <f t="shared" si="0"/>
        <v>298474.90000000002</v>
      </c>
      <c r="E175" s="10">
        <f t="shared" si="0"/>
        <v>242181766.70999995</v>
      </c>
      <c r="F175" s="10">
        <f t="shared" si="0"/>
        <v>18644098.660000004</v>
      </c>
      <c r="G175" s="10">
        <f t="shared" si="0"/>
        <v>50528873.030000016</v>
      </c>
      <c r="H175" s="10">
        <f t="shared" si="0"/>
        <v>2426046.3499999996</v>
      </c>
      <c r="I175" s="10">
        <f t="shared" si="0"/>
        <v>54242298.770000003</v>
      </c>
      <c r="J175" s="10">
        <f t="shared" si="0"/>
        <v>4311661.41</v>
      </c>
      <c r="K175" s="10">
        <f t="shared" si="0"/>
        <v>23397329.640000001</v>
      </c>
      <c r="L175" s="10">
        <f t="shared" si="0"/>
        <v>276345.25000000006</v>
      </c>
      <c r="M175" s="10">
        <f t="shared" si="0"/>
        <v>68469476.100000009</v>
      </c>
      <c r="N175" s="10">
        <f t="shared" si="0"/>
        <v>26534113.460000001</v>
      </c>
      <c r="O175" s="10">
        <f t="shared" ref="O175:P175" si="1">SUM(O7:O173)</f>
        <v>67182407.289999992</v>
      </c>
      <c r="P175" s="10">
        <f t="shared" si="1"/>
        <v>22700214.860000003</v>
      </c>
    </row>
    <row r="176" spans="1:16" ht="14.1" customHeight="1" x14ac:dyDescent="0.25">
      <c r="A176" s="17"/>
      <c r="B176" s="18"/>
      <c r="C176" s="9"/>
      <c r="D176" s="9"/>
      <c r="E176" s="9"/>
      <c r="F176" s="9"/>
      <c r="G176" s="9"/>
      <c r="H176" s="9"/>
      <c r="I176" s="9"/>
      <c r="J176" s="9"/>
      <c r="K176" s="9"/>
      <c r="L176" s="9"/>
      <c r="M176" s="9"/>
      <c r="N176" s="9"/>
      <c r="O176" s="9"/>
      <c r="P176" s="9"/>
    </row>
    <row r="177" spans="1:57" s="7" customFormat="1" ht="14.1" customHeight="1" x14ac:dyDescent="0.25">
      <c r="A177" s="19"/>
      <c r="B177" s="20" t="s">
        <v>318</v>
      </c>
      <c r="C177" s="11">
        <f>SUM(C175-D175)</f>
        <v>25157407.420000009</v>
      </c>
      <c r="D177" s="12"/>
      <c r="E177" s="11">
        <f>SUM(E175-F175)</f>
        <v>223537668.04999995</v>
      </c>
      <c r="F177" s="12"/>
      <c r="G177" s="11">
        <f>SUM(G175-H175)</f>
        <v>48102826.680000015</v>
      </c>
      <c r="H177" s="12"/>
      <c r="I177" s="11">
        <f>SUM(I175-J175)</f>
        <v>49930637.359999999</v>
      </c>
      <c r="J177" s="12"/>
      <c r="K177" s="11">
        <f>SUM(K175-L175)</f>
        <v>23120984.390000001</v>
      </c>
      <c r="L177" s="12"/>
      <c r="M177" s="11">
        <f>SUM(M175-N175)</f>
        <v>41935362.640000008</v>
      </c>
      <c r="N177" s="12"/>
      <c r="O177" s="11">
        <f>SUM(O175-P175)</f>
        <v>44482192.429999992</v>
      </c>
      <c r="P177" s="12"/>
    </row>
    <row r="178" spans="1:57" s="3" customFormat="1" ht="14.1" customHeight="1" x14ac:dyDescent="0.25">
      <c r="A178" s="21"/>
      <c r="B178" s="22"/>
      <c r="C178" s="26"/>
      <c r="D178" s="26"/>
      <c r="E178" s="26"/>
      <c r="F178" s="26"/>
      <c r="G178" s="26"/>
      <c r="H178" s="26"/>
      <c r="I178" s="26"/>
      <c r="J178" s="26"/>
      <c r="K178" s="26"/>
      <c r="L178" s="26"/>
      <c r="M178" s="26"/>
      <c r="N178" s="26"/>
      <c r="O178" s="26"/>
      <c r="P178" s="26"/>
    </row>
    <row r="179" spans="1:57" s="3" customFormat="1" ht="14.1" customHeight="1" x14ac:dyDescent="0.25">
      <c r="A179" s="2"/>
    </row>
    <row r="180" spans="1:57" s="3" customFormat="1" ht="14.1" customHeight="1" x14ac:dyDescent="0.25">
      <c r="A180" s="2"/>
      <c r="B180" s="3" t="s">
        <v>321</v>
      </c>
      <c r="C180" s="24">
        <v>44788245.890000001</v>
      </c>
      <c r="D180" s="24">
        <v>28857726.809999987</v>
      </c>
      <c r="E180" s="27"/>
      <c r="F180" s="27"/>
    </row>
    <row r="181" spans="1:57" s="7" customFormat="1" ht="14.1" customHeight="1" x14ac:dyDescent="0.25">
      <c r="A181" s="6"/>
      <c r="B181" s="7" t="s">
        <v>323</v>
      </c>
      <c r="C181" s="25">
        <f>SUM(C180-D180)</f>
        <v>15930519.080000013</v>
      </c>
      <c r="D181" s="25"/>
      <c r="E181" s="28"/>
      <c r="F181" s="25"/>
    </row>
    <row r="182" spans="1:57" s="3" customFormat="1" ht="14.1" customHeight="1" x14ac:dyDescent="0.25">
      <c r="A182" s="2"/>
      <c r="C182" s="24"/>
      <c r="D182" s="24"/>
    </row>
    <row r="183" spans="1:57" s="3" customFormat="1" ht="14.1" customHeight="1" x14ac:dyDescent="0.25">
      <c r="A183" s="2"/>
      <c r="B183" s="3" t="s">
        <v>322</v>
      </c>
      <c r="C183" s="24">
        <v>107365509.42000003</v>
      </c>
      <c r="D183" s="24">
        <v>35816784.150000013</v>
      </c>
    </row>
    <row r="184" spans="1:57" s="7" customFormat="1" ht="14.1" customHeight="1" x14ac:dyDescent="0.25">
      <c r="A184" s="6"/>
      <c r="B184" s="7" t="s">
        <v>324</v>
      </c>
      <c r="C184" s="25">
        <f>SUM(C183-D183)</f>
        <v>71548725.270000011</v>
      </c>
      <c r="D184" s="25"/>
    </row>
    <row r="185" spans="1:57" s="3" customFormat="1" ht="14.1" customHeight="1" x14ac:dyDescent="0.25">
      <c r="A185" s="2"/>
    </row>
    <row r="186" spans="1:57" s="3" customFormat="1" ht="14.1" customHeight="1" x14ac:dyDescent="0.25">
      <c r="A186" s="2"/>
      <c r="B186" s="3" t="s">
        <v>339</v>
      </c>
      <c r="C186" s="24">
        <f>M175</f>
        <v>68469476.100000009</v>
      </c>
      <c r="D186" s="24">
        <f>N175</f>
        <v>26534113.460000001</v>
      </c>
    </row>
    <row r="187" spans="1:57" s="7" customFormat="1" ht="14.1" customHeight="1" x14ac:dyDescent="0.25">
      <c r="A187" s="6"/>
      <c r="B187" s="7" t="s">
        <v>340</v>
      </c>
      <c r="C187" s="25">
        <f>C186-D186</f>
        <v>41935362.640000008</v>
      </c>
      <c r="D187" s="25"/>
    </row>
    <row r="188" spans="1:57" s="3" customFormat="1" ht="14.1" customHeight="1" x14ac:dyDescent="0.25">
      <c r="A188" s="2"/>
    </row>
    <row r="189" spans="1:57" s="3" customFormat="1" ht="14.1" customHeight="1" x14ac:dyDescent="0.25">
      <c r="A189" s="2"/>
      <c r="B189" s="3" t="s">
        <v>328</v>
      </c>
      <c r="C189" s="24">
        <f>SUM(I175,K175)</f>
        <v>77639628.409999996</v>
      </c>
      <c r="D189" s="24">
        <f>SUM(J175,L175)</f>
        <v>4588006.66</v>
      </c>
      <c r="E189" s="27"/>
      <c r="F189" s="27"/>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c r="BB189" s="24"/>
      <c r="BC189" s="24"/>
      <c r="BD189" s="24"/>
      <c r="BE189" s="24"/>
    </row>
    <row r="190" spans="1:57" s="7" customFormat="1" ht="14.1" customHeight="1" x14ac:dyDescent="0.25">
      <c r="A190" s="6"/>
      <c r="B190" s="7" t="s">
        <v>329</v>
      </c>
      <c r="C190" s="25">
        <f>SUM(C189-D189)</f>
        <v>73051621.75</v>
      </c>
      <c r="D190" s="25"/>
      <c r="E190" s="28"/>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row>
    <row r="191" spans="1:57" s="3" customFormat="1" ht="14.1" customHeight="1" x14ac:dyDescent="0.25">
      <c r="A191" s="2"/>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row>
    <row r="192" spans="1:57" s="3" customFormat="1" ht="14.1" customHeight="1" x14ac:dyDescent="0.25">
      <c r="A192" s="2"/>
      <c r="B192" s="3" t="s">
        <v>331</v>
      </c>
      <c r="C192" s="24">
        <f>SUM(C175,E175,G175)</f>
        <v>318166522.06</v>
      </c>
      <c r="D192" s="24">
        <f>SUM(D175,F175,H175)</f>
        <v>21368619.910000004</v>
      </c>
      <c r="E192" s="27"/>
      <c r="F192" s="27"/>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c r="BB192" s="24"/>
      <c r="BC192" s="24"/>
      <c r="BD192" s="24"/>
      <c r="BE192" s="24"/>
    </row>
    <row r="193" spans="1:57" s="7" customFormat="1" ht="14.1" customHeight="1" x14ac:dyDescent="0.25">
      <c r="A193" s="6"/>
      <c r="B193" s="7" t="s">
        <v>332</v>
      </c>
      <c r="C193" s="25">
        <f>SUM(C192-D192)</f>
        <v>296797902.14999998</v>
      </c>
      <c r="D193" s="25"/>
      <c r="E193" s="28"/>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row>
    <row r="194" spans="1:57" s="3" customFormat="1" ht="14.1" customHeight="1" x14ac:dyDescent="0.25">
      <c r="A194" s="2"/>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row>
    <row r="195" spans="1:57" s="3" customFormat="1" ht="14.1" customHeight="1" x14ac:dyDescent="0.25">
      <c r="A195" s="2"/>
      <c r="B195" s="306" t="s">
        <v>362</v>
      </c>
      <c r="C195" s="307">
        <f>O175</f>
        <v>67182407.289999992</v>
      </c>
      <c r="D195" s="307">
        <f>P175</f>
        <v>22700214.860000003</v>
      </c>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row>
    <row r="196" spans="1:57" s="7" customFormat="1" ht="14.1" customHeight="1" x14ac:dyDescent="0.25">
      <c r="A196" s="6"/>
      <c r="B196" s="308" t="s">
        <v>363</v>
      </c>
      <c r="C196" s="309">
        <f>C195-D195</f>
        <v>44482192.429999992</v>
      </c>
      <c r="D196" s="309"/>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row>
    <row r="197" spans="1:57" s="3" customFormat="1" ht="14.1" customHeight="1" x14ac:dyDescent="0.25">
      <c r="A197" s="2"/>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row>
    <row r="198" spans="1:57" s="3" customFormat="1" ht="14.1" customHeight="1" x14ac:dyDescent="0.25">
      <c r="A198" s="2"/>
      <c r="C198" s="24">
        <f>SUM(C181,C184,C187,C190,C193)</f>
        <v>499264130.88999999</v>
      </c>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row>
    <row r="199" spans="1:57" s="3" customFormat="1" ht="14.1" customHeight="1" x14ac:dyDescent="0.25">
      <c r="A199" s="2"/>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row>
    <row r="200" spans="1:57" s="3" customFormat="1" ht="14.1" customHeight="1" x14ac:dyDescent="0.25">
      <c r="A200" s="2"/>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row>
    <row r="201" spans="1:57" s="3" customFormat="1" ht="14.1" customHeight="1" x14ac:dyDescent="0.25">
      <c r="A201" s="2"/>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row>
    <row r="202" spans="1:57" s="3" customFormat="1" ht="14.1" customHeight="1" x14ac:dyDescent="0.25">
      <c r="A202" s="2"/>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row>
    <row r="203" spans="1:57" s="3" customFormat="1" ht="14.1" customHeight="1" x14ac:dyDescent="0.25">
      <c r="A203" s="2"/>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row>
    <row r="204" spans="1:57" s="3" customFormat="1" ht="14.1" customHeight="1" x14ac:dyDescent="0.25">
      <c r="A204" s="2"/>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row>
    <row r="205" spans="1:57" s="3" customFormat="1" ht="14.1" customHeight="1" x14ac:dyDescent="0.25">
      <c r="A205" s="2"/>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c r="BD205" s="24"/>
      <c r="BE205" s="24"/>
    </row>
    <row r="206" spans="1:57" s="3" customFormat="1" ht="14.1" customHeight="1" x14ac:dyDescent="0.25">
      <c r="A206" s="2"/>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row>
    <row r="207" spans="1:57" s="3" customFormat="1" ht="14.1" customHeight="1" x14ac:dyDescent="0.25">
      <c r="A207" s="2"/>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row>
    <row r="208" spans="1:57" s="3" customFormat="1" ht="14.1" customHeight="1" x14ac:dyDescent="0.25">
      <c r="A208" s="2"/>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row>
    <row r="209" spans="1:57" s="3" customFormat="1" ht="14.1" customHeight="1" x14ac:dyDescent="0.25">
      <c r="A209" s="2"/>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row>
    <row r="210" spans="1:57" s="3" customFormat="1" ht="14.1" customHeight="1" x14ac:dyDescent="0.25">
      <c r="A210" s="2"/>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row>
    <row r="211" spans="1:57" s="3" customFormat="1" ht="14.1" customHeight="1" x14ac:dyDescent="0.25">
      <c r="A211" s="2"/>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row>
    <row r="212" spans="1:57" s="3" customFormat="1" ht="14.1" customHeight="1" x14ac:dyDescent="0.25">
      <c r="A212" s="2"/>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row>
    <row r="213" spans="1:57" s="3" customFormat="1" ht="14.1" customHeight="1" x14ac:dyDescent="0.25">
      <c r="A213" s="2"/>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row>
    <row r="214" spans="1:57" s="3" customFormat="1" ht="14.1" customHeight="1" x14ac:dyDescent="0.25">
      <c r="A214" s="2"/>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row>
    <row r="215" spans="1:57" s="3" customFormat="1" ht="14.1" customHeight="1" x14ac:dyDescent="0.25">
      <c r="A215" s="2"/>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row>
    <row r="216" spans="1:57" s="3" customFormat="1" ht="14.1" customHeight="1" x14ac:dyDescent="0.25">
      <c r="A216" s="2"/>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row>
    <row r="217" spans="1:57" s="3" customFormat="1" ht="14.1" customHeight="1" x14ac:dyDescent="0.25">
      <c r="A217" s="2"/>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row>
    <row r="218" spans="1:57" s="3" customFormat="1" ht="14.1" customHeight="1" x14ac:dyDescent="0.25">
      <c r="A218" s="2"/>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row>
    <row r="219" spans="1:57" s="3" customFormat="1" ht="14.1" customHeight="1" x14ac:dyDescent="0.25">
      <c r="A219" s="2"/>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row>
    <row r="220" spans="1:57" s="3" customFormat="1" ht="14.1" customHeight="1" x14ac:dyDescent="0.25">
      <c r="A220" s="2"/>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row>
    <row r="221" spans="1:57" s="3" customFormat="1" ht="14.1" customHeight="1" x14ac:dyDescent="0.25">
      <c r="A221" s="2"/>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row>
    <row r="222" spans="1:57" s="3" customFormat="1" ht="14.1" customHeight="1" x14ac:dyDescent="0.25">
      <c r="A222" s="2"/>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row>
    <row r="223" spans="1:57" s="3" customFormat="1" ht="14.1" customHeight="1" x14ac:dyDescent="0.25">
      <c r="A223" s="2"/>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row>
    <row r="224" spans="1:57" ht="14.1" customHeight="1" x14ac:dyDescent="0.25">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row>
    <row r="225" spans="3:57" ht="14.1" customHeight="1" x14ac:dyDescent="0.25">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row>
    <row r="226" spans="3:57" ht="14.1" customHeight="1" x14ac:dyDescent="0.25">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row>
    <row r="227" spans="3:57" ht="14.1" customHeight="1" x14ac:dyDescent="0.25">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row>
    <row r="228" spans="3:57" ht="14.1" customHeight="1" x14ac:dyDescent="0.25">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row>
    <row r="229" spans="3:57" ht="14.1" customHeight="1" x14ac:dyDescent="0.25">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row>
    <row r="230" spans="3:57" ht="14.1" customHeight="1" x14ac:dyDescent="0.25">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row>
    <row r="231" spans="3:57" ht="14.1" customHeight="1" x14ac:dyDescent="0.25">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row>
    <row r="232" spans="3:57" ht="14.1" customHeight="1" x14ac:dyDescent="0.25">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row>
    <row r="233" spans="3:57" ht="14.1" customHeight="1" x14ac:dyDescent="0.25">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row>
    <row r="234" spans="3:57" ht="14.1" customHeight="1" x14ac:dyDescent="0.25">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row>
    <row r="235" spans="3:57" ht="14.1" customHeight="1" x14ac:dyDescent="0.25">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row>
    <row r="236" spans="3:57" ht="14.1" customHeight="1" x14ac:dyDescent="0.25">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row>
    <row r="237" spans="3:57" ht="14.1" customHeight="1" x14ac:dyDescent="0.25">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row>
    <row r="238" spans="3:57" ht="14.1" customHeight="1" x14ac:dyDescent="0.25">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row>
    <row r="239" spans="3:57" ht="14.1" customHeight="1" x14ac:dyDescent="0.25">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row>
    <row r="240" spans="3:57" ht="14.1" customHeight="1" x14ac:dyDescent="0.25">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row>
    <row r="241" spans="3:57" ht="14.1" customHeight="1" x14ac:dyDescent="0.25">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row>
  </sheetData>
  <mergeCells count="8">
    <mergeCell ref="A1:E1"/>
    <mergeCell ref="O4:P4"/>
    <mergeCell ref="C4:D4"/>
    <mergeCell ref="E4:F4"/>
    <mergeCell ref="M4:N4"/>
    <mergeCell ref="K4:L4"/>
    <mergeCell ref="I4:J4"/>
    <mergeCell ref="G4:H4"/>
  </mergeCells>
  <phoneticPr fontId="0" type="noConversion"/>
  <pageMargins left="0.39370078740157483" right="0.19685039370078741" top="0.19685039370078741" bottom="0.19685039370078741" header="0.51181102362204722" footer="0.51181102362204722"/>
  <pageSetup paperSize="9" orientation="landscape" horizontalDpi="4294967292" verticalDpi="1200" r:id="rId1"/>
  <headerFooter alignWithMargins="0"/>
  <rowBreaks count="1" manualBreakCount="1">
    <brk id="179" max="16383" man="1"/>
  </rowBreaks>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39"/>
  <sheetViews>
    <sheetView zoomScale="110" zoomScaleNormal="110" workbookViewId="0">
      <pane xSplit="2" ySplit="6" topLeftCell="C159" activePane="bottomRight" state="frozen"/>
      <selection pane="topRight" activeCell="C1" sqref="C1"/>
      <selection pane="bottomLeft" activeCell="A7" sqref="A7"/>
      <selection pane="bottomRight" activeCell="C196" sqref="C196"/>
    </sheetView>
  </sheetViews>
  <sheetFormatPr baseColWidth="10" defaultColWidth="10.6640625" defaultRowHeight="14.1" customHeight="1" x14ac:dyDescent="0.25"/>
  <cols>
    <col min="1" max="1" width="5.6640625" style="2" customWidth="1"/>
    <col min="2" max="2" width="25.6640625" style="3" customWidth="1"/>
    <col min="3" max="51" width="15.6640625" style="4" customWidth="1"/>
    <col min="52" max="16384" width="10.6640625" style="4"/>
  </cols>
  <sheetData>
    <row r="1" spans="1:16" s="3" customFormat="1" ht="14.1" customHeight="1" x14ac:dyDescent="0.25">
      <c r="A1" s="439" t="s">
        <v>392</v>
      </c>
      <c r="B1" s="440"/>
      <c r="C1" s="440"/>
      <c r="D1" s="440"/>
      <c r="E1" s="440"/>
    </row>
    <row r="2" spans="1:16" ht="14.1" customHeight="1" x14ac:dyDescent="0.25">
      <c r="A2" s="1"/>
      <c r="B2" s="2"/>
    </row>
    <row r="3" spans="1:16" ht="14.1" customHeight="1" x14ac:dyDescent="0.25">
      <c r="A3" s="1"/>
      <c r="B3" s="5"/>
    </row>
    <row r="4" spans="1:16" s="7" customFormat="1" ht="14.1" customHeight="1" x14ac:dyDescent="0.25">
      <c r="A4" s="6"/>
      <c r="B4" s="6"/>
      <c r="C4" s="441" t="s">
        <v>317</v>
      </c>
      <c r="D4" s="442"/>
      <c r="E4" s="441" t="s">
        <v>320</v>
      </c>
      <c r="F4" s="442"/>
      <c r="G4" s="441" t="s">
        <v>319</v>
      </c>
      <c r="H4" s="442"/>
      <c r="I4" s="441" t="s">
        <v>312</v>
      </c>
      <c r="J4" s="442"/>
      <c r="K4" s="441" t="s">
        <v>313</v>
      </c>
      <c r="L4" s="442"/>
      <c r="M4" s="441" t="s">
        <v>357</v>
      </c>
      <c r="N4" s="442"/>
      <c r="O4" s="441" t="s">
        <v>361</v>
      </c>
      <c r="P4" s="442"/>
    </row>
    <row r="5" spans="1:16" ht="14.1" customHeight="1" x14ac:dyDescent="0.25">
      <c r="A5" s="1"/>
      <c r="B5" s="2"/>
      <c r="C5" s="8" t="s">
        <v>314</v>
      </c>
      <c r="D5" s="8" t="s">
        <v>315</v>
      </c>
      <c r="E5" s="8" t="s">
        <v>314</v>
      </c>
      <c r="F5" s="8" t="s">
        <v>315</v>
      </c>
      <c r="G5" s="8" t="s">
        <v>314</v>
      </c>
      <c r="H5" s="8" t="s">
        <v>315</v>
      </c>
      <c r="I5" s="8" t="s">
        <v>314</v>
      </c>
      <c r="J5" s="8" t="s">
        <v>315</v>
      </c>
      <c r="K5" s="8" t="s">
        <v>314</v>
      </c>
      <c r="L5" s="8" t="s">
        <v>315</v>
      </c>
      <c r="M5" s="8" t="s">
        <v>314</v>
      </c>
      <c r="N5" s="8" t="s">
        <v>315</v>
      </c>
      <c r="O5" s="8" t="s">
        <v>314</v>
      </c>
      <c r="P5" s="8" t="s">
        <v>315</v>
      </c>
    </row>
    <row r="6" spans="1:16" ht="14.1" customHeight="1" x14ac:dyDescent="0.25">
      <c r="A6" s="1"/>
      <c r="B6" s="2"/>
    </row>
    <row r="7" spans="1:16" ht="14.1" customHeight="1" x14ac:dyDescent="0.25">
      <c r="A7" s="13" t="s">
        <v>0</v>
      </c>
      <c r="B7" s="14" t="s">
        <v>1</v>
      </c>
      <c r="C7" s="29">
        <v>32351.35</v>
      </c>
      <c r="D7" s="30">
        <v>0</v>
      </c>
      <c r="E7" s="29">
        <v>288783.3</v>
      </c>
      <c r="F7" s="30">
        <v>102083.75</v>
      </c>
      <c r="G7" s="29">
        <v>67339</v>
      </c>
      <c r="H7" s="30">
        <v>0</v>
      </c>
      <c r="I7" s="29">
        <v>67491.8</v>
      </c>
      <c r="J7" s="30">
        <v>0</v>
      </c>
      <c r="K7" s="29">
        <v>27006.1</v>
      </c>
      <c r="L7" s="30">
        <v>0</v>
      </c>
      <c r="M7" s="29">
        <v>44274.05</v>
      </c>
      <c r="N7" s="30">
        <v>0</v>
      </c>
      <c r="O7" s="29">
        <v>23553.4</v>
      </c>
      <c r="P7" s="30">
        <v>2000</v>
      </c>
    </row>
    <row r="8" spans="1:16" ht="14.1" customHeight="1" x14ac:dyDescent="0.25">
      <c r="A8" s="15" t="s">
        <v>2</v>
      </c>
      <c r="B8" s="16" t="s">
        <v>3</v>
      </c>
      <c r="C8" s="31">
        <v>59251.15</v>
      </c>
      <c r="D8" s="32">
        <v>0</v>
      </c>
      <c r="E8" s="31">
        <v>499369.75</v>
      </c>
      <c r="F8" s="32">
        <v>0</v>
      </c>
      <c r="G8" s="31">
        <v>125563.05</v>
      </c>
      <c r="H8" s="32">
        <v>0</v>
      </c>
      <c r="I8" s="31">
        <v>126773.4</v>
      </c>
      <c r="J8" s="32">
        <v>0</v>
      </c>
      <c r="K8" s="31">
        <v>86614.8</v>
      </c>
      <c r="L8" s="32">
        <v>0</v>
      </c>
      <c r="M8" s="31">
        <v>64019.3</v>
      </c>
      <c r="N8" s="32">
        <v>4802.95</v>
      </c>
      <c r="O8" s="31">
        <v>72571.350000000006</v>
      </c>
      <c r="P8" s="32">
        <v>720</v>
      </c>
    </row>
    <row r="9" spans="1:16" ht="14.1" customHeight="1" x14ac:dyDescent="0.25">
      <c r="A9" s="15">
        <v>2006</v>
      </c>
      <c r="B9" s="16" t="s">
        <v>4</v>
      </c>
      <c r="C9" s="31">
        <v>31749.7</v>
      </c>
      <c r="D9" s="32">
        <v>0</v>
      </c>
      <c r="E9" s="31">
        <v>275245.5</v>
      </c>
      <c r="F9" s="32">
        <v>0</v>
      </c>
      <c r="G9" s="31">
        <v>68388.899999999994</v>
      </c>
      <c r="H9" s="32">
        <v>0</v>
      </c>
      <c r="I9" s="31">
        <v>69373.649999999994</v>
      </c>
      <c r="J9" s="32">
        <v>0</v>
      </c>
      <c r="K9" s="31">
        <v>38948.25</v>
      </c>
      <c r="L9" s="32">
        <v>0</v>
      </c>
      <c r="M9" s="31">
        <v>34039.699999999997</v>
      </c>
      <c r="N9" s="32">
        <v>0</v>
      </c>
      <c r="O9" s="31">
        <v>42555.25</v>
      </c>
      <c r="P9" s="32">
        <v>20680.7</v>
      </c>
    </row>
    <row r="10" spans="1:16" ht="14.1" customHeight="1" x14ac:dyDescent="0.25">
      <c r="A10" s="15" t="s">
        <v>5</v>
      </c>
      <c r="B10" s="16" t="s">
        <v>6</v>
      </c>
      <c r="C10" s="31">
        <v>31189.45</v>
      </c>
      <c r="D10" s="32">
        <v>0</v>
      </c>
      <c r="E10" s="31">
        <v>239041.55</v>
      </c>
      <c r="F10" s="32">
        <v>0</v>
      </c>
      <c r="G10" s="31">
        <v>65158.85</v>
      </c>
      <c r="H10" s="32">
        <v>0</v>
      </c>
      <c r="I10" s="31">
        <v>64227.45</v>
      </c>
      <c r="J10" s="32">
        <v>0</v>
      </c>
      <c r="K10" s="31">
        <v>34138.9</v>
      </c>
      <c r="L10" s="32">
        <v>0</v>
      </c>
      <c r="M10" s="31">
        <v>35295.5</v>
      </c>
      <c r="N10" s="32">
        <v>0</v>
      </c>
      <c r="O10" s="31">
        <v>56774.05</v>
      </c>
      <c r="P10" s="32">
        <v>50</v>
      </c>
    </row>
    <row r="11" spans="1:16" ht="14.1" customHeight="1" x14ac:dyDescent="0.25">
      <c r="A11" s="15" t="s">
        <v>7</v>
      </c>
      <c r="B11" s="16" t="s">
        <v>8</v>
      </c>
      <c r="C11" s="31">
        <v>103041.45</v>
      </c>
      <c r="D11" s="32">
        <v>0</v>
      </c>
      <c r="E11" s="31">
        <v>937661.2</v>
      </c>
      <c r="F11" s="32">
        <v>60471.55</v>
      </c>
      <c r="G11" s="31">
        <v>222937.5</v>
      </c>
      <c r="H11" s="32">
        <v>0</v>
      </c>
      <c r="I11" s="31">
        <v>227196.6</v>
      </c>
      <c r="J11" s="32">
        <v>0</v>
      </c>
      <c r="K11" s="31">
        <v>134889.85</v>
      </c>
      <c r="L11" s="32">
        <v>0</v>
      </c>
      <c r="M11" s="31">
        <f>120795.9+65986.3</f>
        <v>186782.2</v>
      </c>
      <c r="N11" s="32">
        <v>22354.5</v>
      </c>
      <c r="O11" s="31">
        <v>217835.15</v>
      </c>
      <c r="P11" s="32">
        <v>15448.2</v>
      </c>
    </row>
    <row r="12" spans="1:16" ht="14.1" customHeight="1" x14ac:dyDescent="0.25">
      <c r="A12" s="15" t="s">
        <v>9</v>
      </c>
      <c r="B12" s="16" t="s">
        <v>10</v>
      </c>
      <c r="C12" s="31">
        <v>130164.2</v>
      </c>
      <c r="D12" s="32">
        <v>1500</v>
      </c>
      <c r="E12" s="31">
        <v>1019256.35</v>
      </c>
      <c r="F12" s="32">
        <v>0</v>
      </c>
      <c r="G12" s="31">
        <v>273368.59999999998</v>
      </c>
      <c r="H12" s="32">
        <v>0</v>
      </c>
      <c r="I12" s="31">
        <v>263403.7</v>
      </c>
      <c r="J12" s="32">
        <v>0</v>
      </c>
      <c r="K12" s="31">
        <v>126585.05</v>
      </c>
      <c r="L12" s="32">
        <v>0</v>
      </c>
      <c r="M12" s="31">
        <v>141165.4</v>
      </c>
      <c r="N12" s="32">
        <v>0</v>
      </c>
      <c r="O12" s="31">
        <v>320709.09999999998</v>
      </c>
      <c r="P12" s="32">
        <v>46461.3</v>
      </c>
    </row>
    <row r="13" spans="1:16" ht="14.1" customHeight="1" x14ac:dyDescent="0.25">
      <c r="A13" s="15" t="s">
        <v>11</v>
      </c>
      <c r="B13" s="16" t="s">
        <v>12</v>
      </c>
      <c r="C13" s="31">
        <v>241472.6</v>
      </c>
      <c r="D13" s="32">
        <v>0</v>
      </c>
      <c r="E13" s="31">
        <v>2039717.98</v>
      </c>
      <c r="F13" s="32">
        <v>0</v>
      </c>
      <c r="G13" s="31">
        <v>524873.15</v>
      </c>
      <c r="H13" s="32">
        <v>0</v>
      </c>
      <c r="I13" s="31">
        <v>523546.15</v>
      </c>
      <c r="J13" s="32">
        <v>0</v>
      </c>
      <c r="K13" s="31">
        <v>250248.2</v>
      </c>
      <c r="L13" s="32">
        <v>0</v>
      </c>
      <c r="M13" s="31">
        <v>282530.45</v>
      </c>
      <c r="N13" s="32">
        <v>0</v>
      </c>
      <c r="O13" s="31">
        <v>785318.3</v>
      </c>
      <c r="P13" s="32">
        <v>85467.7</v>
      </c>
    </row>
    <row r="14" spans="1:16" ht="14.1" customHeight="1" x14ac:dyDescent="0.25">
      <c r="A14" s="15" t="s">
        <v>13</v>
      </c>
      <c r="B14" s="16" t="s">
        <v>14</v>
      </c>
      <c r="C14" s="31">
        <v>68813.55</v>
      </c>
      <c r="D14" s="32">
        <v>0</v>
      </c>
      <c r="E14" s="31">
        <v>565146.30000000005</v>
      </c>
      <c r="F14" s="32">
        <v>0</v>
      </c>
      <c r="G14" s="31">
        <v>156281.60000000001</v>
      </c>
      <c r="H14" s="32">
        <v>0</v>
      </c>
      <c r="I14" s="31">
        <v>145407.65</v>
      </c>
      <c r="J14" s="32">
        <v>0</v>
      </c>
      <c r="K14" s="31">
        <v>65176.1</v>
      </c>
      <c r="L14" s="32">
        <v>0</v>
      </c>
      <c r="M14" s="31">
        <v>78233</v>
      </c>
      <c r="N14" s="32">
        <v>958.85</v>
      </c>
      <c r="O14" s="31">
        <v>145160.15</v>
      </c>
      <c r="P14" s="32">
        <v>37156.550000000003</v>
      </c>
    </row>
    <row r="15" spans="1:16" ht="14.1" customHeight="1" x14ac:dyDescent="0.25">
      <c r="A15" s="15" t="s">
        <v>15</v>
      </c>
      <c r="B15" s="16" t="s">
        <v>16</v>
      </c>
      <c r="C15" s="31">
        <v>532206.30000000005</v>
      </c>
      <c r="D15" s="32">
        <v>14213</v>
      </c>
      <c r="E15" s="31">
        <v>4398382.09</v>
      </c>
      <c r="F15" s="32">
        <v>73187.69</v>
      </c>
      <c r="G15" s="31">
        <v>1075341.2</v>
      </c>
      <c r="H15" s="32">
        <v>0</v>
      </c>
      <c r="I15" s="31">
        <v>1082080.95</v>
      </c>
      <c r="J15" s="32">
        <v>0</v>
      </c>
      <c r="K15" s="31">
        <v>608341.30000000005</v>
      </c>
      <c r="L15" s="32">
        <v>0</v>
      </c>
      <c r="M15" s="31">
        <v>600885.82999999996</v>
      </c>
      <c r="N15" s="32">
        <v>106664.35</v>
      </c>
      <c r="O15" s="31">
        <v>2256414.35</v>
      </c>
      <c r="P15" s="32">
        <v>480706.65</v>
      </c>
    </row>
    <row r="16" spans="1:16" ht="14.1" customHeight="1" x14ac:dyDescent="0.25">
      <c r="A16" s="15" t="s">
        <v>17</v>
      </c>
      <c r="B16" s="16" t="s">
        <v>18</v>
      </c>
      <c r="C16" s="31">
        <v>83901.5</v>
      </c>
      <c r="D16" s="32">
        <v>2401.15</v>
      </c>
      <c r="E16" s="31">
        <v>615745.9</v>
      </c>
      <c r="F16" s="32">
        <v>19240.400000000001</v>
      </c>
      <c r="G16" s="31">
        <v>161192.6</v>
      </c>
      <c r="H16" s="32">
        <v>0</v>
      </c>
      <c r="I16" s="31">
        <v>156357.4</v>
      </c>
      <c r="J16" s="32">
        <v>0</v>
      </c>
      <c r="K16" s="31">
        <v>103841.9</v>
      </c>
      <c r="L16" s="32">
        <v>0</v>
      </c>
      <c r="M16" s="31">
        <v>80900.3</v>
      </c>
      <c r="N16" s="32">
        <v>0</v>
      </c>
      <c r="O16" s="31">
        <v>126284.05</v>
      </c>
      <c r="P16" s="32">
        <v>47728.15</v>
      </c>
    </row>
    <row r="17" spans="1:16" ht="14.1" customHeight="1" x14ac:dyDescent="0.25">
      <c r="A17" s="15" t="s">
        <v>21</v>
      </c>
      <c r="B17" s="16" t="s">
        <v>22</v>
      </c>
      <c r="C17" s="31">
        <v>77111.100000000006</v>
      </c>
      <c r="D17" s="32">
        <v>0</v>
      </c>
      <c r="E17" s="31">
        <v>617840.15</v>
      </c>
      <c r="F17" s="32">
        <v>44701.4</v>
      </c>
      <c r="G17" s="31">
        <v>151694.9</v>
      </c>
      <c r="H17" s="32">
        <v>0</v>
      </c>
      <c r="I17" s="31">
        <v>208114.2</v>
      </c>
      <c r="J17" s="32">
        <v>0</v>
      </c>
      <c r="K17" s="31">
        <v>90138.4</v>
      </c>
      <c r="L17" s="32">
        <v>0</v>
      </c>
      <c r="M17" s="31">
        <v>24471.5</v>
      </c>
      <c r="N17" s="32">
        <v>1636.7</v>
      </c>
      <c r="O17" s="31">
        <v>120785.35</v>
      </c>
      <c r="P17" s="32">
        <v>1513.9</v>
      </c>
    </row>
    <row r="18" spans="1:16" ht="14.1" customHeight="1" x14ac:dyDescent="0.25">
      <c r="A18" s="15" t="s">
        <v>23</v>
      </c>
      <c r="B18" s="16" t="s">
        <v>24</v>
      </c>
      <c r="C18" s="31">
        <v>129987.05</v>
      </c>
      <c r="D18" s="32">
        <v>0</v>
      </c>
      <c r="E18" s="31">
        <v>426415.5</v>
      </c>
      <c r="F18" s="32">
        <v>479.65</v>
      </c>
      <c r="G18" s="31">
        <v>109582.3</v>
      </c>
      <c r="H18" s="32">
        <v>0</v>
      </c>
      <c r="I18" s="31">
        <v>110756.95</v>
      </c>
      <c r="J18" s="32">
        <v>0</v>
      </c>
      <c r="K18" s="31">
        <v>66394.7</v>
      </c>
      <c r="L18" s="32">
        <v>0</v>
      </c>
      <c r="M18" s="31">
        <v>61168.45</v>
      </c>
      <c r="N18" s="32">
        <v>896.1</v>
      </c>
      <c r="O18" s="31">
        <v>111330.25</v>
      </c>
      <c r="P18" s="32">
        <v>1318.4</v>
      </c>
    </row>
    <row r="19" spans="1:16" ht="14.1" customHeight="1" x14ac:dyDescent="0.25">
      <c r="A19" s="15" t="s">
        <v>25</v>
      </c>
      <c r="B19" s="16" t="s">
        <v>26</v>
      </c>
      <c r="C19" s="31">
        <v>85257.35</v>
      </c>
      <c r="D19" s="32">
        <v>0</v>
      </c>
      <c r="E19" s="31">
        <v>752967.05</v>
      </c>
      <c r="F19" s="32">
        <v>0</v>
      </c>
      <c r="G19" s="31">
        <v>195712.85</v>
      </c>
      <c r="H19" s="32">
        <v>0</v>
      </c>
      <c r="I19" s="31">
        <v>182070.45</v>
      </c>
      <c r="J19" s="32">
        <v>0</v>
      </c>
      <c r="K19" s="31">
        <v>62083.5</v>
      </c>
      <c r="L19" s="32">
        <v>0</v>
      </c>
      <c r="M19" s="31">
        <v>114975.55</v>
      </c>
      <c r="N19" s="32">
        <v>0</v>
      </c>
      <c r="O19" s="31">
        <v>144657.75</v>
      </c>
      <c r="P19" s="32">
        <v>194.5</v>
      </c>
    </row>
    <row r="20" spans="1:16" ht="14.1" customHeight="1" x14ac:dyDescent="0.25">
      <c r="A20" s="15" t="s">
        <v>27</v>
      </c>
      <c r="B20" s="16" t="s">
        <v>28</v>
      </c>
      <c r="C20" s="31">
        <v>31150.55</v>
      </c>
      <c r="D20" s="32">
        <v>0</v>
      </c>
      <c r="E20" s="31">
        <v>259482.1</v>
      </c>
      <c r="F20" s="32">
        <v>7909.5</v>
      </c>
      <c r="G20" s="31">
        <v>64173.65</v>
      </c>
      <c r="H20" s="32">
        <v>0</v>
      </c>
      <c r="I20" s="31">
        <v>62922.95</v>
      </c>
      <c r="J20" s="32">
        <v>0</v>
      </c>
      <c r="K20" s="31">
        <v>34302.050000000003</v>
      </c>
      <c r="L20" s="32">
        <v>0</v>
      </c>
      <c r="M20" s="31">
        <v>36045.199999999997</v>
      </c>
      <c r="N20" s="32">
        <v>237.6</v>
      </c>
      <c r="O20" s="31">
        <v>57893.95</v>
      </c>
      <c r="P20" s="32">
        <v>0</v>
      </c>
    </row>
    <row r="21" spans="1:16" ht="14.1" customHeight="1" x14ac:dyDescent="0.25">
      <c r="A21" s="15" t="s">
        <v>29</v>
      </c>
      <c r="B21" s="16" t="s">
        <v>30</v>
      </c>
      <c r="C21" s="31">
        <v>207427.85</v>
      </c>
      <c r="D21" s="32">
        <v>0</v>
      </c>
      <c r="E21" s="31">
        <v>1453045.15</v>
      </c>
      <c r="F21" s="32">
        <f>216+19746.8</f>
        <v>19962.8</v>
      </c>
      <c r="G21" s="31">
        <v>384143.95</v>
      </c>
      <c r="H21" s="32">
        <v>0</v>
      </c>
      <c r="I21" s="31">
        <f>316462.8+71348.9</f>
        <v>387811.69999999995</v>
      </c>
      <c r="J21" s="32">
        <v>0</v>
      </c>
      <c r="K21" s="31">
        <v>211583.1</v>
      </c>
      <c r="L21" s="32">
        <v>0</v>
      </c>
      <c r="M21" s="31">
        <v>180149.95</v>
      </c>
      <c r="N21" s="32">
        <f>1004.55+24954</f>
        <v>25958.55</v>
      </c>
      <c r="O21" s="31">
        <v>350192.8</v>
      </c>
      <c r="P21" s="32">
        <f>100+1109.5+35.95+8043.8+70044.75+16605.85</f>
        <v>95939.85</v>
      </c>
    </row>
    <row r="22" spans="1:16" ht="14.1" customHeight="1" x14ac:dyDescent="0.25">
      <c r="A22" s="15" t="s">
        <v>32</v>
      </c>
      <c r="B22" s="16" t="s">
        <v>33</v>
      </c>
      <c r="C22" s="31">
        <v>13315.8</v>
      </c>
      <c r="D22" s="32">
        <v>0</v>
      </c>
      <c r="E22" s="31">
        <v>118220.7</v>
      </c>
      <c r="F22" s="32">
        <v>0</v>
      </c>
      <c r="G22" s="31">
        <v>26887.15</v>
      </c>
      <c r="H22" s="32">
        <v>0</v>
      </c>
      <c r="I22" s="31">
        <v>25952.65</v>
      </c>
      <c r="J22" s="32">
        <v>0</v>
      </c>
      <c r="K22" s="31">
        <v>15048.95</v>
      </c>
      <c r="L22" s="32">
        <v>0</v>
      </c>
      <c r="M22" s="31">
        <v>14834.9</v>
      </c>
      <c r="N22" s="32">
        <v>2442.8000000000002</v>
      </c>
      <c r="O22" s="31">
        <v>6508.85</v>
      </c>
      <c r="P22" s="32">
        <v>484.8</v>
      </c>
    </row>
    <row r="23" spans="1:16" ht="14.1" customHeight="1" x14ac:dyDescent="0.25">
      <c r="A23" s="15" t="s">
        <v>34</v>
      </c>
      <c r="B23" s="16" t="s">
        <v>35</v>
      </c>
      <c r="C23" s="31">
        <v>50582.35</v>
      </c>
      <c r="D23" s="32">
        <v>0</v>
      </c>
      <c r="E23" s="31">
        <v>420311.25</v>
      </c>
      <c r="F23" s="32">
        <v>0</v>
      </c>
      <c r="G23" s="31">
        <v>107612.85</v>
      </c>
      <c r="H23" s="32">
        <v>0</v>
      </c>
      <c r="I23" s="31">
        <v>105062.35</v>
      </c>
      <c r="J23" s="32">
        <v>0</v>
      </c>
      <c r="K23" s="31">
        <v>66480.800000000003</v>
      </c>
      <c r="L23" s="32">
        <v>0</v>
      </c>
      <c r="M23" s="31">
        <v>61841.7</v>
      </c>
      <c r="N23" s="32">
        <v>11095.85</v>
      </c>
      <c r="O23" s="31">
        <v>103105.9</v>
      </c>
      <c r="P23" s="32">
        <v>15109.95</v>
      </c>
    </row>
    <row r="24" spans="1:16" ht="14.1" customHeight="1" x14ac:dyDescent="0.25">
      <c r="A24" s="15" t="s">
        <v>36</v>
      </c>
      <c r="B24" s="16" t="s">
        <v>37</v>
      </c>
      <c r="C24" s="31">
        <v>33155.550000000003</v>
      </c>
      <c r="D24" s="32">
        <v>0</v>
      </c>
      <c r="E24" s="31">
        <v>253830.15</v>
      </c>
      <c r="F24" s="32">
        <v>0</v>
      </c>
      <c r="G24" s="31">
        <v>70740.95</v>
      </c>
      <c r="H24" s="32">
        <v>0</v>
      </c>
      <c r="I24" s="31">
        <v>68041.45</v>
      </c>
      <c r="J24" s="32">
        <v>0</v>
      </c>
      <c r="K24" s="31">
        <v>37314.65</v>
      </c>
      <c r="L24" s="32">
        <v>0</v>
      </c>
      <c r="M24" s="31">
        <v>31134.95</v>
      </c>
      <c r="N24" s="32">
        <v>0</v>
      </c>
      <c r="O24" s="31">
        <v>68366.05</v>
      </c>
      <c r="P24" s="32">
        <v>0</v>
      </c>
    </row>
    <row r="25" spans="1:16" ht="14.1" customHeight="1" x14ac:dyDescent="0.25">
      <c r="A25" s="15" t="s">
        <v>38</v>
      </c>
      <c r="B25" s="16" t="s">
        <v>39</v>
      </c>
      <c r="C25" s="31">
        <v>5630.2</v>
      </c>
      <c r="D25" s="32">
        <v>0</v>
      </c>
      <c r="E25" s="31">
        <v>45067.15</v>
      </c>
      <c r="F25" s="32">
        <v>0</v>
      </c>
      <c r="G25" s="31">
        <v>12403.4</v>
      </c>
      <c r="H25" s="32">
        <v>0</v>
      </c>
      <c r="I25" s="31">
        <v>9723.2999999999993</v>
      </c>
      <c r="J25" s="32">
        <v>0</v>
      </c>
      <c r="K25" s="31">
        <v>6180.9</v>
      </c>
      <c r="L25" s="32">
        <v>0</v>
      </c>
      <c r="M25" s="31">
        <v>1779.75</v>
      </c>
      <c r="N25" s="32">
        <v>0</v>
      </c>
      <c r="O25" s="31">
        <v>8998.75</v>
      </c>
      <c r="P25" s="32">
        <v>2740</v>
      </c>
    </row>
    <row r="26" spans="1:16" ht="14.1" customHeight="1" x14ac:dyDescent="0.25">
      <c r="A26" s="15" t="s">
        <v>40</v>
      </c>
      <c r="B26" s="16" t="s">
        <v>41</v>
      </c>
      <c r="C26" s="31">
        <v>28597.7</v>
      </c>
      <c r="D26" s="32">
        <v>0</v>
      </c>
      <c r="E26" s="31">
        <v>248124.05</v>
      </c>
      <c r="F26" s="32">
        <v>0</v>
      </c>
      <c r="G26" s="31">
        <v>62578.55</v>
      </c>
      <c r="H26" s="32">
        <v>0</v>
      </c>
      <c r="I26" s="31">
        <v>62620.65</v>
      </c>
      <c r="J26" s="32">
        <v>0</v>
      </c>
      <c r="K26" s="31">
        <v>27059.9</v>
      </c>
      <c r="L26" s="32">
        <v>0</v>
      </c>
      <c r="M26" s="31">
        <v>31394.400000000001</v>
      </c>
      <c r="N26" s="32">
        <v>3262</v>
      </c>
      <c r="O26" s="31">
        <v>40015.75</v>
      </c>
      <c r="P26" s="32">
        <v>14225.15</v>
      </c>
    </row>
    <row r="27" spans="1:16" ht="14.1" customHeight="1" x14ac:dyDescent="0.25">
      <c r="A27" s="15" t="s">
        <v>42</v>
      </c>
      <c r="B27" s="16" t="s">
        <v>43</v>
      </c>
      <c r="C27" s="31">
        <v>18588.599999999999</v>
      </c>
      <c r="D27" s="32">
        <v>0</v>
      </c>
      <c r="E27" s="31">
        <v>162020.04999999999</v>
      </c>
      <c r="F27" s="32">
        <v>0</v>
      </c>
      <c r="G27" s="31">
        <v>37853.050000000003</v>
      </c>
      <c r="H27" s="32">
        <v>0</v>
      </c>
      <c r="I27" s="31">
        <v>38772.199999999997</v>
      </c>
      <c r="J27" s="32">
        <v>0</v>
      </c>
      <c r="K27" s="31">
        <v>22898.5</v>
      </c>
      <c r="L27" s="32">
        <v>0</v>
      </c>
      <c r="M27" s="31">
        <v>18871.349999999999</v>
      </c>
      <c r="N27" s="32">
        <v>0</v>
      </c>
      <c r="O27" s="31">
        <v>25710</v>
      </c>
      <c r="P27" s="32">
        <v>3555.2</v>
      </c>
    </row>
    <row r="28" spans="1:16" ht="14.1" customHeight="1" x14ac:dyDescent="0.25">
      <c r="A28" s="15" t="s">
        <v>44</v>
      </c>
      <c r="B28" s="16" t="s">
        <v>45</v>
      </c>
      <c r="C28" s="31">
        <v>131028.85</v>
      </c>
      <c r="D28" s="32">
        <v>0</v>
      </c>
      <c r="E28" s="31">
        <v>991056.05</v>
      </c>
      <c r="F28" s="32">
        <v>12638.15</v>
      </c>
      <c r="G28" s="31">
        <v>278169.8</v>
      </c>
      <c r="H28" s="32">
        <v>0</v>
      </c>
      <c r="I28" s="31">
        <v>261608.65</v>
      </c>
      <c r="J28" s="32">
        <v>0</v>
      </c>
      <c r="K28" s="31">
        <v>149152.04999999999</v>
      </c>
      <c r="L28" s="32">
        <v>0</v>
      </c>
      <c r="M28" s="31">
        <v>145384.25</v>
      </c>
      <c r="N28" s="32">
        <v>0</v>
      </c>
      <c r="O28" s="31">
        <v>252172.05</v>
      </c>
      <c r="P28" s="32">
        <v>24835</v>
      </c>
    </row>
    <row r="29" spans="1:16" ht="14.1" customHeight="1" x14ac:dyDescent="0.25">
      <c r="A29" s="15" t="s">
        <v>46</v>
      </c>
      <c r="B29" s="16" t="s">
        <v>47</v>
      </c>
      <c r="C29" s="31">
        <v>22342.05</v>
      </c>
      <c r="D29" s="32">
        <v>0</v>
      </c>
      <c r="E29" s="31">
        <v>198331.2</v>
      </c>
      <c r="F29" s="32">
        <v>1500</v>
      </c>
      <c r="G29" s="31">
        <v>48692</v>
      </c>
      <c r="H29" s="32">
        <v>0</v>
      </c>
      <c r="I29" s="31">
        <v>45548.7</v>
      </c>
      <c r="J29" s="32">
        <v>0</v>
      </c>
      <c r="K29" s="31">
        <v>21577.3</v>
      </c>
      <c r="L29" s="32">
        <v>0</v>
      </c>
      <c r="M29" s="31">
        <v>25221.85</v>
      </c>
      <c r="N29" s="32">
        <v>0</v>
      </c>
      <c r="O29" s="31">
        <v>39132</v>
      </c>
      <c r="P29" s="32">
        <v>1658.3</v>
      </c>
    </row>
    <row r="30" spans="1:16" ht="14.1" customHeight="1" x14ac:dyDescent="0.25">
      <c r="A30" s="15" t="s">
        <v>48</v>
      </c>
      <c r="B30" s="16" t="s">
        <v>49</v>
      </c>
      <c r="C30" s="31">
        <v>27167.95</v>
      </c>
      <c r="D30" s="32">
        <v>0</v>
      </c>
      <c r="E30" s="31">
        <v>209946.5</v>
      </c>
      <c r="F30" s="32">
        <v>0</v>
      </c>
      <c r="G30" s="31">
        <v>55561.599999999999</v>
      </c>
      <c r="H30" s="32">
        <v>0</v>
      </c>
      <c r="I30" s="31">
        <v>46337.55</v>
      </c>
      <c r="J30" s="32">
        <v>0</v>
      </c>
      <c r="K30" s="31">
        <v>36536.400000000001</v>
      </c>
      <c r="L30" s="32">
        <v>0</v>
      </c>
      <c r="M30" s="31">
        <v>9817.2999999999993</v>
      </c>
      <c r="N30" s="32">
        <v>8327.7999999999993</v>
      </c>
      <c r="O30" s="31">
        <v>24750.65</v>
      </c>
      <c r="P30" s="32">
        <v>0</v>
      </c>
    </row>
    <row r="31" spans="1:16" ht="14.1" customHeight="1" x14ac:dyDescent="0.25">
      <c r="A31" s="15" t="s">
        <v>50</v>
      </c>
      <c r="B31" s="16" t="s">
        <v>51</v>
      </c>
      <c r="C31" s="31">
        <v>29670.25</v>
      </c>
      <c r="D31" s="32">
        <v>0</v>
      </c>
      <c r="E31" s="31">
        <v>234559.15</v>
      </c>
      <c r="F31" s="32">
        <v>0</v>
      </c>
      <c r="G31" s="31">
        <v>63997.1</v>
      </c>
      <c r="H31" s="32">
        <v>0</v>
      </c>
      <c r="I31" s="31">
        <v>60306.9</v>
      </c>
      <c r="J31" s="32">
        <v>0</v>
      </c>
      <c r="K31" s="31">
        <v>32540.2</v>
      </c>
      <c r="L31" s="32">
        <v>0</v>
      </c>
      <c r="M31" s="31">
        <v>35440.65</v>
      </c>
      <c r="N31" s="32">
        <v>3291.45</v>
      </c>
      <c r="O31" s="31">
        <v>20042.849999999999</v>
      </c>
      <c r="P31" s="32">
        <v>41892.550000000003</v>
      </c>
    </row>
    <row r="32" spans="1:16" ht="14.1" customHeight="1" x14ac:dyDescent="0.25">
      <c r="A32" s="15" t="s">
        <v>52</v>
      </c>
      <c r="B32" s="16" t="s">
        <v>53</v>
      </c>
      <c r="C32" s="31">
        <v>29223.35</v>
      </c>
      <c r="D32" s="32">
        <v>0</v>
      </c>
      <c r="E32" s="31">
        <v>255900.25</v>
      </c>
      <c r="F32" s="32">
        <v>26836.15</v>
      </c>
      <c r="G32" s="31">
        <v>62794.45</v>
      </c>
      <c r="H32" s="32">
        <v>0</v>
      </c>
      <c r="I32" s="31">
        <v>58430.9</v>
      </c>
      <c r="J32" s="32">
        <v>0</v>
      </c>
      <c r="K32" s="31">
        <v>23988.5</v>
      </c>
      <c r="L32" s="32">
        <v>0</v>
      </c>
      <c r="M32" s="31">
        <v>40644.6</v>
      </c>
      <c r="N32" s="32">
        <v>0</v>
      </c>
      <c r="O32" s="31">
        <v>19748.599999999999</v>
      </c>
      <c r="P32" s="32">
        <v>0</v>
      </c>
    </row>
    <row r="33" spans="1:16" ht="14.1" customHeight="1" x14ac:dyDescent="0.25">
      <c r="A33" s="15" t="s">
        <v>54</v>
      </c>
      <c r="B33" s="16" t="s">
        <v>55</v>
      </c>
      <c r="C33" s="31">
        <v>16086.25</v>
      </c>
      <c r="D33" s="32">
        <v>0</v>
      </c>
      <c r="E33" s="31">
        <v>160887.75</v>
      </c>
      <c r="F33" s="32">
        <v>0</v>
      </c>
      <c r="G33" s="31">
        <v>29766.9</v>
      </c>
      <c r="H33" s="32">
        <v>0</v>
      </c>
      <c r="I33" s="31">
        <v>36475.699999999997</v>
      </c>
      <c r="J33" s="32">
        <v>0</v>
      </c>
      <c r="K33" s="31">
        <v>18971.599999999999</v>
      </c>
      <c r="L33" s="32">
        <v>0</v>
      </c>
      <c r="M33" s="31">
        <v>23463.599999999999</v>
      </c>
      <c r="N33" s="32">
        <v>0</v>
      </c>
      <c r="O33" s="31">
        <v>35553.800000000003</v>
      </c>
      <c r="P33" s="32">
        <v>5350.5</v>
      </c>
    </row>
    <row r="34" spans="1:16" ht="14.1" customHeight="1" x14ac:dyDescent="0.25">
      <c r="A34" s="15">
        <v>2050</v>
      </c>
      <c r="B34" s="16" t="s">
        <v>31</v>
      </c>
      <c r="C34" s="31">
        <v>112514.4</v>
      </c>
      <c r="D34" s="32">
        <v>0</v>
      </c>
      <c r="E34" s="31">
        <v>888298</v>
      </c>
      <c r="F34" s="32">
        <v>5000</v>
      </c>
      <c r="G34" s="31">
        <v>244002.4</v>
      </c>
      <c r="H34" s="32">
        <v>0</v>
      </c>
      <c r="I34" s="31">
        <v>240660.15</v>
      </c>
      <c r="J34" s="32">
        <v>0</v>
      </c>
      <c r="K34" s="31">
        <v>131754.25</v>
      </c>
      <c r="L34" s="32">
        <v>0</v>
      </c>
      <c r="M34" s="31">
        <v>129340.3</v>
      </c>
      <c r="N34" s="32">
        <v>0</v>
      </c>
      <c r="O34" s="31">
        <v>178279.95</v>
      </c>
      <c r="P34" s="32">
        <v>5553</v>
      </c>
    </row>
    <row r="35" spans="1:16" ht="14.1" customHeight="1" x14ac:dyDescent="0.25">
      <c r="A35" s="15">
        <v>2051</v>
      </c>
      <c r="B35" s="16" t="s">
        <v>310</v>
      </c>
      <c r="C35" s="31">
        <v>80788.7</v>
      </c>
      <c r="D35" s="32">
        <v>0</v>
      </c>
      <c r="E35" s="31">
        <v>639565.05000000005</v>
      </c>
      <c r="F35" s="32">
        <v>4666.7</v>
      </c>
      <c r="G35" s="31">
        <v>162782.20000000001</v>
      </c>
      <c r="H35" s="32">
        <v>0</v>
      </c>
      <c r="I35" s="31">
        <v>171341.8</v>
      </c>
      <c r="J35" s="32">
        <v>0</v>
      </c>
      <c r="K35" s="31">
        <v>92452</v>
      </c>
      <c r="L35" s="32">
        <v>0</v>
      </c>
      <c r="M35" s="31">
        <v>118042.2</v>
      </c>
      <c r="N35" s="32">
        <v>29253.4</v>
      </c>
      <c r="O35" s="31">
        <v>550695.6</v>
      </c>
      <c r="P35" s="32">
        <v>126499</v>
      </c>
    </row>
    <row r="36" spans="1:16" ht="13.5" customHeight="1" x14ac:dyDescent="0.25">
      <c r="A36" s="33">
        <v>2052</v>
      </c>
      <c r="B36" s="34" t="s">
        <v>311</v>
      </c>
      <c r="C36" s="35">
        <v>91066.05</v>
      </c>
      <c r="D36" s="36">
        <v>0</v>
      </c>
      <c r="E36" s="35">
        <v>793998.25</v>
      </c>
      <c r="F36" s="36">
        <v>44996.7</v>
      </c>
      <c r="G36" s="35">
        <v>195575.4</v>
      </c>
      <c r="H36" s="36">
        <v>0</v>
      </c>
      <c r="I36" s="35">
        <v>188700.05</v>
      </c>
      <c r="J36" s="36">
        <v>0</v>
      </c>
      <c r="K36" s="35">
        <v>97696.4</v>
      </c>
      <c r="L36" s="36">
        <v>0</v>
      </c>
      <c r="M36" s="35">
        <v>99491.199999999997</v>
      </c>
      <c r="N36" s="36">
        <v>837.4</v>
      </c>
      <c r="O36" s="35">
        <v>69189.45</v>
      </c>
      <c r="P36" s="36">
        <v>0</v>
      </c>
    </row>
    <row r="37" spans="1:16" ht="14.1" customHeight="1" x14ac:dyDescent="0.25">
      <c r="A37" s="15" t="s">
        <v>56</v>
      </c>
      <c r="B37" s="16" t="s">
        <v>57</v>
      </c>
      <c r="C37" s="31">
        <v>23682.5</v>
      </c>
      <c r="D37" s="32">
        <v>0</v>
      </c>
      <c r="E37" s="31">
        <v>237102.17</v>
      </c>
      <c r="F37" s="32">
        <v>7355.9</v>
      </c>
      <c r="G37" s="31">
        <v>47460.15</v>
      </c>
      <c r="H37" s="32">
        <v>0</v>
      </c>
      <c r="I37" s="31">
        <v>54335.7</v>
      </c>
      <c r="J37" s="32">
        <v>0</v>
      </c>
      <c r="K37" s="31">
        <v>27871.65</v>
      </c>
      <c r="L37" s="32">
        <v>0</v>
      </c>
      <c r="M37" s="31">
        <v>24232.799999999999</v>
      </c>
      <c r="N37" s="32">
        <v>0</v>
      </c>
      <c r="O37" s="31">
        <v>31291.200000000001</v>
      </c>
      <c r="P37" s="32">
        <v>5364.1</v>
      </c>
    </row>
    <row r="38" spans="1:16" ht="14.1" customHeight="1" x14ac:dyDescent="0.25">
      <c r="A38" s="15" t="s">
        <v>58</v>
      </c>
      <c r="B38" s="16" t="s">
        <v>59</v>
      </c>
      <c r="C38" s="31">
        <v>86587.95</v>
      </c>
      <c r="D38" s="32">
        <v>0</v>
      </c>
      <c r="E38" s="31">
        <v>520820.45</v>
      </c>
      <c r="F38" s="32">
        <v>22161.75</v>
      </c>
      <c r="G38" s="31">
        <v>116160.05</v>
      </c>
      <c r="H38" s="32">
        <v>0</v>
      </c>
      <c r="I38" s="31">
        <v>133434.04999999999</v>
      </c>
      <c r="J38" s="32">
        <v>0</v>
      </c>
      <c r="K38" s="31">
        <v>61976.45</v>
      </c>
      <c r="L38" s="32">
        <v>0</v>
      </c>
      <c r="M38" s="31">
        <v>44025.85</v>
      </c>
      <c r="N38" s="32">
        <v>2002</v>
      </c>
      <c r="O38" s="31">
        <v>62705.65</v>
      </c>
      <c r="P38" s="32">
        <v>1587.5</v>
      </c>
    </row>
    <row r="39" spans="1:16" ht="14.1" customHeight="1" x14ac:dyDescent="0.25">
      <c r="A39" s="15">
        <v>2064</v>
      </c>
      <c r="B39" s="16" t="s">
        <v>60</v>
      </c>
      <c r="C39" s="31">
        <v>22252.65</v>
      </c>
      <c r="D39" s="32">
        <v>0</v>
      </c>
      <c r="E39" s="31">
        <v>215170.18</v>
      </c>
      <c r="F39" s="32">
        <v>5700</v>
      </c>
      <c r="G39" s="31">
        <v>47563.75</v>
      </c>
      <c r="H39" s="32">
        <v>0</v>
      </c>
      <c r="I39" s="31">
        <v>55781.05</v>
      </c>
      <c r="J39" s="32">
        <v>0</v>
      </c>
      <c r="K39" s="31">
        <v>35894.5</v>
      </c>
      <c r="L39" s="32">
        <v>0</v>
      </c>
      <c r="M39" s="31">
        <v>22672.3</v>
      </c>
      <c r="N39" s="32">
        <v>0</v>
      </c>
      <c r="O39" s="31">
        <v>23834.45</v>
      </c>
      <c r="P39" s="32">
        <v>0</v>
      </c>
    </row>
    <row r="40" spans="1:16" ht="14.1" customHeight="1" x14ac:dyDescent="0.25">
      <c r="A40" s="15" t="s">
        <v>61</v>
      </c>
      <c r="B40" s="16" t="s">
        <v>62</v>
      </c>
      <c r="C40" s="31">
        <v>31278.85</v>
      </c>
      <c r="D40" s="32">
        <v>1190</v>
      </c>
      <c r="E40" s="31">
        <v>258470.99</v>
      </c>
      <c r="F40" s="32">
        <v>2430</v>
      </c>
      <c r="G40" s="31">
        <v>61483.65</v>
      </c>
      <c r="H40" s="32">
        <v>0</v>
      </c>
      <c r="I40" s="31">
        <v>69886.100000000006</v>
      </c>
      <c r="J40" s="32">
        <v>0</v>
      </c>
      <c r="K40" s="31">
        <v>33834.400000000001</v>
      </c>
      <c r="L40" s="32">
        <v>0</v>
      </c>
      <c r="M40" s="31">
        <v>24682.75</v>
      </c>
      <c r="N40" s="32">
        <v>0</v>
      </c>
      <c r="O40" s="31">
        <v>77934.95</v>
      </c>
      <c r="P40" s="32">
        <v>280</v>
      </c>
    </row>
    <row r="41" spans="1:16" ht="14.1" customHeight="1" x14ac:dyDescent="0.25">
      <c r="A41" s="15" t="s">
        <v>63</v>
      </c>
      <c r="B41" s="16" t="s">
        <v>64</v>
      </c>
      <c r="C41" s="31">
        <v>65953.649999999994</v>
      </c>
      <c r="D41" s="32">
        <v>0</v>
      </c>
      <c r="E41" s="31">
        <v>562265.55000000005</v>
      </c>
      <c r="F41" s="32">
        <v>0</v>
      </c>
      <c r="G41" s="31">
        <v>133184.25</v>
      </c>
      <c r="H41" s="32">
        <v>0</v>
      </c>
      <c r="I41" s="31">
        <f>151786.45+2477.9</f>
        <v>154264.35</v>
      </c>
      <c r="J41" s="32">
        <v>0</v>
      </c>
      <c r="K41" s="31">
        <v>71811.350000000006</v>
      </c>
      <c r="L41" s="32">
        <v>0</v>
      </c>
      <c r="M41" s="31">
        <v>54356.15</v>
      </c>
      <c r="N41" s="32">
        <v>1993.55</v>
      </c>
      <c r="O41" s="31">
        <v>41929.1</v>
      </c>
      <c r="P41" s="32">
        <v>52.9</v>
      </c>
    </row>
    <row r="42" spans="1:16" ht="14.1" customHeight="1" x14ac:dyDescent="0.25">
      <c r="A42" s="15" t="s">
        <v>65</v>
      </c>
      <c r="B42" s="16" t="s">
        <v>66</v>
      </c>
      <c r="C42" s="31">
        <v>31947.75</v>
      </c>
      <c r="D42" s="32">
        <v>0</v>
      </c>
      <c r="E42" s="31">
        <v>237039.85</v>
      </c>
      <c r="F42" s="32">
        <v>3840</v>
      </c>
      <c r="G42" s="31">
        <v>50781.15</v>
      </c>
      <c r="H42" s="32">
        <v>0</v>
      </c>
      <c r="I42" s="31">
        <v>58284.25</v>
      </c>
      <c r="J42" s="32">
        <v>0</v>
      </c>
      <c r="K42" s="31">
        <v>27499.1</v>
      </c>
      <c r="L42" s="32">
        <v>0</v>
      </c>
      <c r="M42" s="31">
        <v>25411.85</v>
      </c>
      <c r="N42" s="32">
        <v>0</v>
      </c>
      <c r="O42" s="31">
        <v>25793.1</v>
      </c>
      <c r="P42" s="32">
        <v>2000</v>
      </c>
    </row>
    <row r="43" spans="1:16" ht="14.1" customHeight="1" x14ac:dyDescent="0.25">
      <c r="A43" s="15" t="s">
        <v>67</v>
      </c>
      <c r="B43" s="16" t="s">
        <v>68</v>
      </c>
      <c r="C43" s="31">
        <v>15728.85</v>
      </c>
      <c r="D43" s="32">
        <v>0</v>
      </c>
      <c r="E43" s="31">
        <v>132794.04</v>
      </c>
      <c r="F43" s="32">
        <v>2110</v>
      </c>
      <c r="G43" s="31">
        <v>32493.200000000001</v>
      </c>
      <c r="H43" s="32">
        <v>0</v>
      </c>
      <c r="I43" s="31">
        <v>37415.699999999997</v>
      </c>
      <c r="J43" s="32">
        <v>0</v>
      </c>
      <c r="K43" s="31">
        <v>19846.5</v>
      </c>
      <c r="L43" s="32">
        <v>0</v>
      </c>
      <c r="M43" s="31">
        <v>11471.25</v>
      </c>
      <c r="N43" s="32">
        <v>0</v>
      </c>
      <c r="O43" s="31">
        <v>29576.25</v>
      </c>
      <c r="P43" s="32">
        <v>2393.6</v>
      </c>
    </row>
    <row r="44" spans="1:16" ht="14.1" customHeight="1" x14ac:dyDescent="0.25">
      <c r="A44" s="15" t="s">
        <v>69</v>
      </c>
      <c r="B44" s="16" t="s">
        <v>70</v>
      </c>
      <c r="C44" s="31">
        <v>40391.35</v>
      </c>
      <c r="D44" s="32">
        <v>0</v>
      </c>
      <c r="E44" s="31">
        <v>325707</v>
      </c>
      <c r="F44" s="32">
        <v>8753.85</v>
      </c>
      <c r="G44" s="31">
        <v>74981.25</v>
      </c>
      <c r="H44" s="32">
        <v>0</v>
      </c>
      <c r="I44" s="31">
        <v>86522.65</v>
      </c>
      <c r="J44" s="32">
        <v>0</v>
      </c>
      <c r="K44" s="31">
        <v>47385.65</v>
      </c>
      <c r="L44" s="32">
        <v>0</v>
      </c>
      <c r="M44" s="31">
        <v>34164.800000000003</v>
      </c>
      <c r="N44" s="32">
        <v>4674</v>
      </c>
      <c r="O44" s="31">
        <v>39289.5</v>
      </c>
      <c r="P44" s="32">
        <v>121.2</v>
      </c>
    </row>
    <row r="45" spans="1:16" ht="14.1" customHeight="1" x14ac:dyDescent="0.25">
      <c r="A45" s="15" t="s">
        <v>71</v>
      </c>
      <c r="B45" s="16" t="s">
        <v>72</v>
      </c>
      <c r="C45" s="31">
        <v>89100</v>
      </c>
      <c r="D45" s="32">
        <v>0</v>
      </c>
      <c r="E45" s="31">
        <v>802884.9</v>
      </c>
      <c r="F45" s="32">
        <v>8953.4500000000007</v>
      </c>
      <c r="G45" s="31">
        <v>176987.4</v>
      </c>
      <c r="H45" s="32">
        <v>0</v>
      </c>
      <c r="I45" s="31">
        <v>201959.35</v>
      </c>
      <c r="J45" s="32">
        <v>0</v>
      </c>
      <c r="K45" s="31">
        <v>90464.75</v>
      </c>
      <c r="L45" s="32">
        <v>0</v>
      </c>
      <c r="M45" s="31">
        <v>74947.350000000006</v>
      </c>
      <c r="N45" s="32">
        <v>11031.75</v>
      </c>
      <c r="O45" s="31">
        <v>86329.85</v>
      </c>
      <c r="P45" s="32">
        <v>18916.8</v>
      </c>
    </row>
    <row r="46" spans="1:16" ht="14.1" customHeight="1" x14ac:dyDescent="0.25">
      <c r="A46" s="15" t="s">
        <v>73</v>
      </c>
      <c r="B46" s="16" t="s">
        <v>74</v>
      </c>
      <c r="C46" s="31">
        <v>32395.95</v>
      </c>
      <c r="D46" s="32">
        <v>0</v>
      </c>
      <c r="E46" s="31">
        <v>278606.25</v>
      </c>
      <c r="F46" s="32">
        <v>0</v>
      </c>
      <c r="G46" s="31">
        <v>63293</v>
      </c>
      <c r="H46" s="32">
        <v>0</v>
      </c>
      <c r="I46" s="31">
        <v>73432.850000000006</v>
      </c>
      <c r="J46" s="32">
        <v>0</v>
      </c>
      <c r="K46" s="31">
        <v>42697.1</v>
      </c>
      <c r="L46" s="32">
        <v>0</v>
      </c>
      <c r="M46" s="31">
        <v>34520.65</v>
      </c>
      <c r="N46" s="32">
        <v>0</v>
      </c>
      <c r="O46" s="31">
        <v>20311.45</v>
      </c>
      <c r="P46" s="32">
        <v>0</v>
      </c>
    </row>
    <row r="47" spans="1:16" ht="14.1" customHeight="1" x14ac:dyDescent="0.25">
      <c r="A47" s="15" t="s">
        <v>75</v>
      </c>
      <c r="B47" s="16" t="s">
        <v>76</v>
      </c>
      <c r="C47" s="31">
        <v>426284.79999999999</v>
      </c>
      <c r="D47" s="32">
        <v>35401.1</v>
      </c>
      <c r="E47" s="31">
        <v>4130051.3</v>
      </c>
      <c r="F47" s="32">
        <v>149261.25</v>
      </c>
      <c r="G47" s="31">
        <v>912174.15</v>
      </c>
      <c r="H47" s="32">
        <v>0</v>
      </c>
      <c r="I47" s="31">
        <v>940370.4</v>
      </c>
      <c r="J47" s="32">
        <v>0</v>
      </c>
      <c r="K47" s="31">
        <v>584852.65</v>
      </c>
      <c r="L47" s="32">
        <v>0</v>
      </c>
      <c r="M47" s="31">
        <v>2011265.75</v>
      </c>
      <c r="N47" s="32">
        <v>1451361.65</v>
      </c>
      <c r="O47" s="31">
        <v>1500869.8</v>
      </c>
      <c r="P47" s="32">
        <v>397399.9</v>
      </c>
    </row>
    <row r="48" spans="1:16" ht="14.1" customHeight="1" x14ac:dyDescent="0.25">
      <c r="A48" s="15" t="s">
        <v>77</v>
      </c>
      <c r="B48" s="16" t="s">
        <v>78</v>
      </c>
      <c r="C48" s="31">
        <v>108492.85</v>
      </c>
      <c r="D48" s="32">
        <v>0</v>
      </c>
      <c r="E48" s="31">
        <v>1003449.59</v>
      </c>
      <c r="F48" s="32">
        <v>37145.050000000003</v>
      </c>
      <c r="G48" s="31">
        <v>225433.75</v>
      </c>
      <c r="H48" s="32">
        <v>0</v>
      </c>
      <c r="I48" s="31">
        <v>255030</v>
      </c>
      <c r="J48" s="32">
        <v>0</v>
      </c>
      <c r="K48" s="31">
        <v>138541.29999999999</v>
      </c>
      <c r="L48" s="32">
        <v>0</v>
      </c>
      <c r="M48" s="31">
        <v>631520.55000000005</v>
      </c>
      <c r="N48" s="32">
        <v>510131.25</v>
      </c>
      <c r="O48" s="31">
        <v>200294.1</v>
      </c>
      <c r="P48" s="32">
        <v>0</v>
      </c>
    </row>
    <row r="49" spans="1:16" ht="14.1" customHeight="1" x14ac:dyDescent="0.25">
      <c r="A49" s="15" t="s">
        <v>79</v>
      </c>
      <c r="B49" s="16" t="s">
        <v>80</v>
      </c>
      <c r="C49" s="31">
        <v>236078.05</v>
      </c>
      <c r="D49" s="32">
        <v>0</v>
      </c>
      <c r="E49" s="31">
        <v>2413627.4700000002</v>
      </c>
      <c r="F49" s="32">
        <v>7764.75</v>
      </c>
      <c r="G49" s="31">
        <v>311025.95</v>
      </c>
      <c r="H49" s="32">
        <v>0</v>
      </c>
      <c r="I49" s="31">
        <v>568275.80000000005</v>
      </c>
      <c r="J49" s="32">
        <v>0</v>
      </c>
      <c r="K49" s="31">
        <v>469716.25</v>
      </c>
      <c r="L49" s="32">
        <v>0</v>
      </c>
      <c r="M49" s="31">
        <v>149724.79999999999</v>
      </c>
      <c r="N49" s="32">
        <v>20019.2</v>
      </c>
      <c r="O49" s="31">
        <v>250253.57</v>
      </c>
      <c r="P49" s="32">
        <v>7224.55</v>
      </c>
    </row>
    <row r="50" spans="1:16" ht="14.1" customHeight="1" x14ac:dyDescent="0.25">
      <c r="A50" s="15" t="s">
        <v>82</v>
      </c>
      <c r="B50" s="16" t="s">
        <v>83</v>
      </c>
      <c r="C50" s="31">
        <v>224665.25</v>
      </c>
      <c r="D50" s="32">
        <v>0</v>
      </c>
      <c r="E50" s="31">
        <v>1878374.25</v>
      </c>
      <c r="F50" s="32">
        <v>0</v>
      </c>
      <c r="G50" s="31">
        <v>442327.4</v>
      </c>
      <c r="H50" s="32">
        <v>0</v>
      </c>
      <c r="I50" s="31">
        <v>516018.8</v>
      </c>
      <c r="J50" s="32">
        <v>0</v>
      </c>
      <c r="K50" s="31">
        <v>222529.8</v>
      </c>
      <c r="L50" s="32">
        <v>0</v>
      </c>
      <c r="M50" s="31">
        <v>235369.85</v>
      </c>
      <c r="N50" s="32">
        <v>0</v>
      </c>
      <c r="O50" s="31">
        <v>259351.35</v>
      </c>
      <c r="P50" s="32">
        <v>34783.300000000003</v>
      </c>
    </row>
    <row r="51" spans="1:16" ht="14.1" customHeight="1" x14ac:dyDescent="0.25">
      <c r="A51" s="15" t="s">
        <v>84</v>
      </c>
      <c r="B51" s="16" t="s">
        <v>85</v>
      </c>
      <c r="C51" s="31">
        <v>89010.7</v>
      </c>
      <c r="D51" s="32">
        <v>0</v>
      </c>
      <c r="E51" s="31">
        <v>887146.65</v>
      </c>
      <c r="F51" s="32">
        <v>72918.100000000006</v>
      </c>
      <c r="G51" s="31">
        <v>185749.45</v>
      </c>
      <c r="H51" s="32">
        <v>0</v>
      </c>
      <c r="I51" s="31">
        <v>214631.75</v>
      </c>
      <c r="J51" s="32">
        <v>0</v>
      </c>
      <c r="K51" s="31">
        <v>112012.7</v>
      </c>
      <c r="L51" s="32">
        <v>0</v>
      </c>
      <c r="M51" s="31">
        <v>68019.100000000006</v>
      </c>
      <c r="N51" s="32">
        <v>0</v>
      </c>
      <c r="O51" s="31">
        <v>259565.45</v>
      </c>
      <c r="P51" s="32">
        <v>54271.3</v>
      </c>
    </row>
    <row r="52" spans="1:16" ht="14.1" customHeight="1" x14ac:dyDescent="0.25">
      <c r="A52" s="15" t="s">
        <v>88</v>
      </c>
      <c r="B52" s="16" t="s">
        <v>89</v>
      </c>
      <c r="C52" s="31">
        <v>174714.7</v>
      </c>
      <c r="D52" s="32">
        <v>0</v>
      </c>
      <c r="E52" s="31">
        <v>1488758.6</v>
      </c>
      <c r="F52" s="32">
        <v>0</v>
      </c>
      <c r="G52" s="31">
        <v>351993.75</v>
      </c>
      <c r="H52" s="32">
        <v>0</v>
      </c>
      <c r="I52" s="31">
        <v>384933.6</v>
      </c>
      <c r="J52" s="32">
        <v>0</v>
      </c>
      <c r="K52" s="31">
        <v>147464.04999999999</v>
      </c>
      <c r="L52" s="32">
        <v>0</v>
      </c>
      <c r="M52" s="31">
        <v>133145.4</v>
      </c>
      <c r="N52" s="32">
        <v>12609.9</v>
      </c>
      <c r="O52" s="31">
        <v>419904.5</v>
      </c>
      <c r="P52" s="32">
        <v>3228.4</v>
      </c>
    </row>
    <row r="53" spans="1:16" ht="14.1" customHeight="1" x14ac:dyDescent="0.25">
      <c r="A53" s="15">
        <v>2114</v>
      </c>
      <c r="B53" s="16" t="s">
        <v>90</v>
      </c>
      <c r="C53" s="31">
        <v>112603.8</v>
      </c>
      <c r="D53" s="32">
        <v>0</v>
      </c>
      <c r="E53" s="31">
        <v>912154</v>
      </c>
      <c r="F53" s="32">
        <v>5559.95</v>
      </c>
      <c r="G53" s="31">
        <v>221761.3</v>
      </c>
      <c r="H53" s="32">
        <v>0</v>
      </c>
      <c r="I53" s="31">
        <v>253104.2</v>
      </c>
      <c r="J53" s="32">
        <v>0</v>
      </c>
      <c r="K53" s="31">
        <v>130953.65</v>
      </c>
      <c r="L53" s="32">
        <v>0</v>
      </c>
      <c r="M53" s="31">
        <v>84953.4</v>
      </c>
      <c r="N53" s="32">
        <v>-1764.05</v>
      </c>
      <c r="O53" s="31">
        <v>256017.25</v>
      </c>
      <c r="P53" s="32">
        <v>0</v>
      </c>
    </row>
    <row r="54" spans="1:16" ht="14.1" customHeight="1" x14ac:dyDescent="0.25">
      <c r="A54" s="15">
        <v>2115</v>
      </c>
      <c r="B54" s="16" t="s">
        <v>81</v>
      </c>
      <c r="C54" s="31">
        <v>72120.149999999994</v>
      </c>
      <c r="D54" s="32">
        <v>0</v>
      </c>
      <c r="E54" s="31">
        <v>704892.03</v>
      </c>
      <c r="F54" s="32">
        <v>88916.160000000003</v>
      </c>
      <c r="G54" s="31">
        <v>143910.6</v>
      </c>
      <c r="H54" s="32">
        <v>0</v>
      </c>
      <c r="I54" s="31">
        <v>164749.25</v>
      </c>
      <c r="J54" s="32">
        <v>0</v>
      </c>
      <c r="K54" s="31">
        <v>78288.55</v>
      </c>
      <c r="L54" s="32">
        <v>0</v>
      </c>
      <c r="M54" s="31">
        <v>51939.85</v>
      </c>
      <c r="N54" s="32">
        <v>7376.05</v>
      </c>
      <c r="O54" s="31">
        <v>101104.51</v>
      </c>
      <c r="P54" s="32">
        <v>0</v>
      </c>
    </row>
    <row r="55" spans="1:16" ht="14.1" customHeight="1" x14ac:dyDescent="0.25">
      <c r="A55" s="33">
        <v>2116</v>
      </c>
      <c r="B55" s="34" t="s">
        <v>307</v>
      </c>
      <c r="C55" s="35">
        <v>78018.399999999994</v>
      </c>
      <c r="D55" s="36">
        <v>0</v>
      </c>
      <c r="E55" s="35">
        <v>689710.17</v>
      </c>
      <c r="F55" s="36">
        <v>5775.45</v>
      </c>
      <c r="G55" s="35">
        <v>155698.29999999999</v>
      </c>
      <c r="H55" s="36">
        <v>0</v>
      </c>
      <c r="I55" s="35">
        <v>179773.65</v>
      </c>
      <c r="J55" s="36">
        <v>0</v>
      </c>
      <c r="K55" s="35">
        <v>100919.3</v>
      </c>
      <c r="L55" s="36">
        <v>0</v>
      </c>
      <c r="M55" s="35">
        <v>78099</v>
      </c>
      <c r="N55" s="36">
        <v>612.45000000000005</v>
      </c>
      <c r="O55" s="35">
        <v>116919.75</v>
      </c>
      <c r="P55" s="36">
        <v>2572</v>
      </c>
    </row>
    <row r="56" spans="1:16" ht="14.1" customHeight="1" x14ac:dyDescent="0.25">
      <c r="A56" s="15" t="s">
        <v>91</v>
      </c>
      <c r="B56" s="16" t="s">
        <v>92</v>
      </c>
      <c r="C56" s="31">
        <v>150269.9</v>
      </c>
      <c r="D56" s="32">
        <v>33744.400000000001</v>
      </c>
      <c r="E56" s="31">
        <v>1037014.65</v>
      </c>
      <c r="F56" s="32">
        <v>121634.95</v>
      </c>
      <c r="G56" s="31">
        <v>243859.05</v>
      </c>
      <c r="H56" s="32">
        <v>0</v>
      </c>
      <c r="I56" s="31">
        <v>392298.85</v>
      </c>
      <c r="J56" s="32">
        <v>0</v>
      </c>
      <c r="K56" s="31">
        <v>135001.5</v>
      </c>
      <c r="L56" s="32">
        <v>0</v>
      </c>
      <c r="M56" s="31">
        <v>181961.5</v>
      </c>
      <c r="N56" s="32">
        <v>19650.55</v>
      </c>
      <c r="O56" s="31">
        <v>486842.53</v>
      </c>
      <c r="P56" s="32">
        <v>59813.75</v>
      </c>
    </row>
    <row r="57" spans="1:16" ht="14.1" customHeight="1" x14ac:dyDescent="0.25">
      <c r="A57" s="15">
        <v>2122</v>
      </c>
      <c r="B57" s="16" t="s">
        <v>93</v>
      </c>
      <c r="C57" s="31">
        <v>159556.15</v>
      </c>
      <c r="D57" s="32">
        <v>26831.65</v>
      </c>
      <c r="E57" s="31">
        <v>1311486.76</v>
      </c>
      <c r="F57" s="32">
        <v>96308.7</v>
      </c>
      <c r="G57" s="31">
        <v>283436.90000000002</v>
      </c>
      <c r="H57" s="32">
        <v>0</v>
      </c>
      <c r="I57" s="31">
        <v>280046.45</v>
      </c>
      <c r="J57" s="32">
        <v>0</v>
      </c>
      <c r="K57" s="31">
        <v>49651.5</v>
      </c>
      <c r="L57" s="32">
        <v>0</v>
      </c>
      <c r="M57" s="31">
        <v>308911.09999999998</v>
      </c>
      <c r="N57" s="32">
        <v>0</v>
      </c>
      <c r="O57" s="31">
        <v>425708.85</v>
      </c>
      <c r="P57" s="32">
        <v>10265.4</v>
      </c>
    </row>
    <row r="58" spans="1:16" ht="14.1" customHeight="1" x14ac:dyDescent="0.25">
      <c r="A58" s="15" t="s">
        <v>94</v>
      </c>
      <c r="B58" s="16" t="s">
        <v>95</v>
      </c>
      <c r="C58" s="31">
        <v>43164.75</v>
      </c>
      <c r="D58" s="32">
        <v>0</v>
      </c>
      <c r="E58" s="31">
        <v>397846.8</v>
      </c>
      <c r="F58" s="32">
        <v>9472.9</v>
      </c>
      <c r="G58" s="31">
        <v>85060.4</v>
      </c>
      <c r="H58" s="32">
        <v>0</v>
      </c>
      <c r="I58" s="31">
        <v>74747.8</v>
      </c>
      <c r="J58" s="32">
        <v>0</v>
      </c>
      <c r="K58" s="31">
        <v>47710</v>
      </c>
      <c r="L58" s="32">
        <v>0</v>
      </c>
      <c r="M58" s="31">
        <v>82744.25</v>
      </c>
      <c r="N58" s="32">
        <v>0</v>
      </c>
      <c r="O58" s="31">
        <v>120962.8</v>
      </c>
      <c r="P58" s="32">
        <v>630</v>
      </c>
    </row>
    <row r="59" spans="1:16" ht="14.1" customHeight="1" x14ac:dyDescent="0.25">
      <c r="A59" s="15" t="s">
        <v>96</v>
      </c>
      <c r="B59" s="16" t="s">
        <v>97</v>
      </c>
      <c r="C59" s="31">
        <v>205189.15</v>
      </c>
      <c r="D59" s="32">
        <v>0</v>
      </c>
      <c r="E59" s="31">
        <v>1727053.9</v>
      </c>
      <c r="F59" s="32">
        <v>84930.5</v>
      </c>
      <c r="G59" s="31">
        <v>386513.45</v>
      </c>
      <c r="H59" s="32">
        <v>0</v>
      </c>
      <c r="I59" s="31">
        <v>504503.05</v>
      </c>
      <c r="J59" s="32">
        <v>0</v>
      </c>
      <c r="K59" s="31">
        <v>240322</v>
      </c>
      <c r="L59" s="32">
        <v>0</v>
      </c>
      <c r="M59" s="31">
        <v>303396.94</v>
      </c>
      <c r="N59" s="32">
        <v>0</v>
      </c>
      <c r="O59" s="31">
        <v>676918.2</v>
      </c>
      <c r="P59" s="32">
        <v>134551.79999999999</v>
      </c>
    </row>
    <row r="60" spans="1:16" ht="14.1" customHeight="1" x14ac:dyDescent="0.25">
      <c r="A60" s="15" t="s">
        <v>98</v>
      </c>
      <c r="B60" s="16" t="s">
        <v>99</v>
      </c>
      <c r="C60" s="31">
        <v>1723965.2</v>
      </c>
      <c r="D60" s="32">
        <v>27760.2</v>
      </c>
      <c r="E60" s="31">
        <f>8272682.1+7435312.15+168620.6</f>
        <v>15876614.85</v>
      </c>
      <c r="F60" s="32">
        <v>175436.3</v>
      </c>
      <c r="G60" s="31">
        <v>3427133</v>
      </c>
      <c r="H60" s="32">
        <v>0</v>
      </c>
      <c r="I60" s="31">
        <v>4191590.55</v>
      </c>
      <c r="J60" s="32">
        <v>0</v>
      </c>
      <c r="K60" s="31">
        <v>2230859.5</v>
      </c>
      <c r="L60" s="32">
        <v>0</v>
      </c>
      <c r="M60" s="31">
        <v>2485130.5</v>
      </c>
      <c r="N60" s="32">
        <v>17104.400000000001</v>
      </c>
      <c r="O60" s="31">
        <v>10200486.359999999</v>
      </c>
      <c r="P60" s="32">
        <v>7637749.4900000002</v>
      </c>
    </row>
    <row r="61" spans="1:16" ht="14.1" customHeight="1" x14ac:dyDescent="0.25">
      <c r="A61" s="15" t="s">
        <v>100</v>
      </c>
      <c r="B61" s="16" t="s">
        <v>101</v>
      </c>
      <c r="C61" s="31">
        <v>20706.05</v>
      </c>
      <c r="D61" s="32">
        <v>150</v>
      </c>
      <c r="E61" s="31">
        <v>216924.5</v>
      </c>
      <c r="F61" s="32">
        <v>811</v>
      </c>
      <c r="G61" s="31">
        <v>59191.45</v>
      </c>
      <c r="H61" s="32">
        <v>0</v>
      </c>
      <c r="I61" s="31">
        <v>68508.600000000006</v>
      </c>
      <c r="J61" s="32">
        <v>0</v>
      </c>
      <c r="K61" s="31">
        <v>31324</v>
      </c>
      <c r="L61" s="32">
        <v>0</v>
      </c>
      <c r="M61" s="31">
        <v>53747.1</v>
      </c>
      <c r="N61" s="32">
        <v>4757.8999999999996</v>
      </c>
      <c r="O61" s="31">
        <v>156519.9</v>
      </c>
      <c r="P61" s="32">
        <v>7516.55</v>
      </c>
    </row>
    <row r="62" spans="1:16" ht="14.1" customHeight="1" x14ac:dyDescent="0.25">
      <c r="A62" s="15" t="s">
        <v>102</v>
      </c>
      <c r="B62" s="16" t="s">
        <v>103</v>
      </c>
      <c r="C62" s="31">
        <v>210493.05</v>
      </c>
      <c r="D62" s="32">
        <v>0</v>
      </c>
      <c r="E62" s="31">
        <v>1602545.75</v>
      </c>
      <c r="F62" s="32">
        <v>0</v>
      </c>
      <c r="G62" s="31">
        <v>320539.84999999998</v>
      </c>
      <c r="H62" s="32">
        <v>0</v>
      </c>
      <c r="I62" s="31">
        <f>310022.05+97994.45</f>
        <v>408016.5</v>
      </c>
      <c r="J62" s="32">
        <v>0</v>
      </c>
      <c r="K62" s="31">
        <v>191206.5</v>
      </c>
      <c r="L62" s="32">
        <v>0</v>
      </c>
      <c r="M62" s="31">
        <v>237553.7</v>
      </c>
      <c r="N62" s="32">
        <v>18706.8</v>
      </c>
      <c r="O62" s="31">
        <v>929654.75</v>
      </c>
      <c r="P62" s="32">
        <v>213092.6</v>
      </c>
    </row>
    <row r="63" spans="1:16" ht="14.1" customHeight="1" x14ac:dyDescent="0.25">
      <c r="A63" s="15" t="s">
        <v>104</v>
      </c>
      <c r="B63" s="16" t="s">
        <v>105</v>
      </c>
      <c r="C63" s="31">
        <v>21984.65</v>
      </c>
      <c r="D63" s="32">
        <v>0</v>
      </c>
      <c r="E63" s="31">
        <v>225511.12</v>
      </c>
      <c r="F63" s="32">
        <v>33614.26</v>
      </c>
      <c r="G63" s="31">
        <v>42779.75</v>
      </c>
      <c r="H63" s="32">
        <v>0</v>
      </c>
      <c r="I63" s="31">
        <f>1240+46313.85</f>
        <v>47553.85</v>
      </c>
      <c r="J63" s="32">
        <v>0</v>
      </c>
      <c r="K63" s="31">
        <v>28529.1</v>
      </c>
      <c r="L63" s="32">
        <v>0</v>
      </c>
      <c r="M63" s="31">
        <v>33982.9</v>
      </c>
      <c r="N63" s="32">
        <v>1504</v>
      </c>
      <c r="O63" s="31">
        <v>87160.9</v>
      </c>
      <c r="P63" s="32">
        <v>2382.4499999999998</v>
      </c>
    </row>
    <row r="64" spans="1:16" ht="14.1" customHeight="1" x14ac:dyDescent="0.25">
      <c r="A64" s="15" t="s">
        <v>106</v>
      </c>
      <c r="B64" s="16" t="s">
        <v>107</v>
      </c>
      <c r="C64" s="31">
        <v>61395.95</v>
      </c>
      <c r="D64" s="32">
        <v>0</v>
      </c>
      <c r="E64" s="31">
        <v>483838.8</v>
      </c>
      <c r="F64" s="32">
        <v>20034.150000000001</v>
      </c>
      <c r="G64" s="31">
        <v>126880.2</v>
      </c>
      <c r="H64" s="32">
        <v>0</v>
      </c>
      <c r="I64" s="31">
        <f>30061.95+111665.95</f>
        <v>141727.9</v>
      </c>
      <c r="J64" s="32">
        <v>0</v>
      </c>
      <c r="K64" s="31">
        <v>71462.5</v>
      </c>
      <c r="L64" s="32">
        <v>0</v>
      </c>
      <c r="M64" s="31">
        <v>83702.3</v>
      </c>
      <c r="N64" s="32">
        <v>2574.0500000000002</v>
      </c>
      <c r="O64" s="31">
        <v>232307.4</v>
      </c>
      <c r="P64" s="32">
        <v>92480.05</v>
      </c>
    </row>
    <row r="65" spans="1:16" ht="14.1" customHeight="1" x14ac:dyDescent="0.25">
      <c r="A65" s="15" t="s">
        <v>108</v>
      </c>
      <c r="B65" s="16" t="s">
        <v>109</v>
      </c>
      <c r="C65" s="31">
        <v>26925.15</v>
      </c>
      <c r="D65" s="32">
        <v>0</v>
      </c>
      <c r="E65" s="31">
        <f>228836.45+5478.65</f>
        <v>234315.1</v>
      </c>
      <c r="F65" s="32">
        <f>263.5+5086.9</f>
        <v>5350.4</v>
      </c>
      <c r="G65" s="31">
        <v>52799</v>
      </c>
      <c r="H65" s="32">
        <v>0</v>
      </c>
      <c r="I65" s="31">
        <v>62841.85</v>
      </c>
      <c r="J65" s="32">
        <v>0</v>
      </c>
      <c r="K65" s="31">
        <v>37135.5</v>
      </c>
      <c r="L65" s="32">
        <v>0</v>
      </c>
      <c r="M65" s="31">
        <v>37384.6</v>
      </c>
      <c r="N65" s="32">
        <v>1724</v>
      </c>
      <c r="O65" s="31">
        <v>170016</v>
      </c>
      <c r="P65" s="32">
        <v>2116.3000000000002</v>
      </c>
    </row>
    <row r="66" spans="1:16" ht="14.1" customHeight="1" x14ac:dyDescent="0.25">
      <c r="A66" s="15" t="s">
        <v>110</v>
      </c>
      <c r="B66" s="16" t="s">
        <v>111</v>
      </c>
      <c r="C66" s="31">
        <v>63987.5</v>
      </c>
      <c r="D66" s="32">
        <v>0</v>
      </c>
      <c r="E66" s="31">
        <v>614805.9</v>
      </c>
      <c r="F66" s="32">
        <v>10363.9</v>
      </c>
      <c r="G66" s="31">
        <v>128304.3</v>
      </c>
      <c r="H66" s="32">
        <v>0</v>
      </c>
      <c r="I66" s="31">
        <f>16969+111514</f>
        <v>128483</v>
      </c>
      <c r="J66" s="32">
        <v>0</v>
      </c>
      <c r="K66" s="31">
        <v>76836</v>
      </c>
      <c r="L66" s="32">
        <v>0</v>
      </c>
      <c r="M66" s="31">
        <v>87990.7</v>
      </c>
      <c r="N66" s="32">
        <v>6673.85</v>
      </c>
      <c r="O66" s="31">
        <v>125558</v>
      </c>
      <c r="P66" s="32">
        <v>6727.4</v>
      </c>
    </row>
    <row r="67" spans="1:16" ht="14.1" customHeight="1" x14ac:dyDescent="0.25">
      <c r="A67" s="15" t="s">
        <v>113</v>
      </c>
      <c r="B67" s="16" t="s">
        <v>114</v>
      </c>
      <c r="C67" s="31">
        <v>64967.55</v>
      </c>
      <c r="D67" s="32">
        <v>0</v>
      </c>
      <c r="E67" s="31">
        <v>460070.2</v>
      </c>
      <c r="F67" s="32">
        <v>0</v>
      </c>
      <c r="G67" s="31">
        <v>126981.8</v>
      </c>
      <c r="H67" s="32">
        <v>0</v>
      </c>
      <c r="I67" s="31">
        <f>112121.75+80718.3</f>
        <v>192840.05</v>
      </c>
      <c r="J67" s="32">
        <v>0</v>
      </c>
      <c r="K67" s="31">
        <v>71095</v>
      </c>
      <c r="L67" s="32">
        <v>0</v>
      </c>
      <c r="M67" s="31">
        <v>93332.800000000003</v>
      </c>
      <c r="N67" s="32">
        <v>7765.6</v>
      </c>
      <c r="O67" s="31">
        <v>201902.25</v>
      </c>
      <c r="P67" s="32">
        <v>48337.55</v>
      </c>
    </row>
    <row r="68" spans="1:16" ht="14.1" customHeight="1" x14ac:dyDescent="0.25">
      <c r="A68" s="15" t="s">
        <v>115</v>
      </c>
      <c r="B68" s="16" t="s">
        <v>116</v>
      </c>
      <c r="C68" s="31">
        <v>159879.6</v>
      </c>
      <c r="D68" s="32">
        <v>0</v>
      </c>
      <c r="E68" s="31">
        <v>1322868.6299999999</v>
      </c>
      <c r="F68" s="32">
        <v>16625.900000000001</v>
      </c>
      <c r="G68" s="31">
        <v>321435.40000000002</v>
      </c>
      <c r="H68" s="32">
        <v>0</v>
      </c>
      <c r="I68" s="31">
        <f>363206.2+6825.75</f>
        <v>370031.95</v>
      </c>
      <c r="J68" s="32">
        <v>5800</v>
      </c>
      <c r="K68" s="31">
        <v>181851.5</v>
      </c>
      <c r="L68" s="32">
        <v>0</v>
      </c>
      <c r="M68" s="31">
        <v>224293.15</v>
      </c>
      <c r="N68" s="32">
        <v>14021.2</v>
      </c>
      <c r="O68" s="31">
        <v>1048572.41</v>
      </c>
      <c r="P68" s="32">
        <v>55671.4</v>
      </c>
    </row>
    <row r="69" spans="1:16" ht="14.1" customHeight="1" x14ac:dyDescent="0.25">
      <c r="A69" s="15" t="s">
        <v>117</v>
      </c>
      <c r="B69" s="16" t="s">
        <v>118</v>
      </c>
      <c r="C69" s="31">
        <v>57860.05</v>
      </c>
      <c r="D69" s="32">
        <v>2352.4</v>
      </c>
      <c r="E69" s="31">
        <v>475642.45</v>
      </c>
      <c r="F69" s="32">
        <v>58592.55</v>
      </c>
      <c r="G69" s="31">
        <v>98864</v>
      </c>
      <c r="H69" s="32">
        <v>0</v>
      </c>
      <c r="I69" s="31">
        <f>30559.6+85382.65</f>
        <v>115942.25</v>
      </c>
      <c r="J69" s="32">
        <v>0</v>
      </c>
      <c r="K69" s="31">
        <v>56885.5</v>
      </c>
      <c r="L69" s="32">
        <v>0</v>
      </c>
      <c r="M69" s="31">
        <v>68059.3</v>
      </c>
      <c r="N69" s="32">
        <v>5669.15</v>
      </c>
      <c r="O69" s="31">
        <v>104889.05</v>
      </c>
      <c r="P69" s="32">
        <v>931.55</v>
      </c>
    </row>
    <row r="70" spans="1:16" ht="14.1" customHeight="1" x14ac:dyDescent="0.25">
      <c r="A70" s="15" t="s">
        <v>119</v>
      </c>
      <c r="B70" s="16" t="s">
        <v>120</v>
      </c>
      <c r="C70" s="31">
        <v>61306.6</v>
      </c>
      <c r="D70" s="32">
        <v>0</v>
      </c>
      <c r="E70" s="31">
        <v>432485.62</v>
      </c>
      <c r="F70" s="32">
        <v>16500</v>
      </c>
      <c r="G70" s="31">
        <v>117316.7</v>
      </c>
      <c r="H70" s="32">
        <v>0</v>
      </c>
      <c r="I70" s="31">
        <f>34025.05+103917.7</f>
        <v>137942.75</v>
      </c>
      <c r="J70" s="32">
        <v>0</v>
      </c>
      <c r="K70" s="31">
        <v>60689</v>
      </c>
      <c r="L70" s="32">
        <v>0</v>
      </c>
      <c r="M70" s="31">
        <v>81413.45</v>
      </c>
      <c r="N70" s="32">
        <v>1500</v>
      </c>
      <c r="O70" s="31">
        <v>202781.25</v>
      </c>
      <c r="P70" s="32">
        <v>7587.5</v>
      </c>
    </row>
    <row r="71" spans="1:16" ht="14.1" customHeight="1" x14ac:dyDescent="0.25">
      <c r="A71" s="15" t="s">
        <v>121</v>
      </c>
      <c r="B71" s="16" t="s">
        <v>122</v>
      </c>
      <c r="C71" s="31">
        <v>142363.4</v>
      </c>
      <c r="D71" s="32">
        <v>0</v>
      </c>
      <c r="E71" s="31">
        <v>2087496.95</v>
      </c>
      <c r="F71" s="32">
        <v>633711.19999999995</v>
      </c>
      <c r="G71" s="31">
        <v>286699</v>
      </c>
      <c r="H71" s="32">
        <v>0</v>
      </c>
      <c r="I71" s="31">
        <v>302090</v>
      </c>
      <c r="J71" s="32">
        <v>0</v>
      </c>
      <c r="K71" s="31">
        <v>167075.5</v>
      </c>
      <c r="L71" s="32">
        <v>0</v>
      </c>
      <c r="M71" s="31">
        <v>212171.35</v>
      </c>
      <c r="N71" s="32">
        <v>8580.6</v>
      </c>
      <c r="O71" s="31">
        <v>161472.65</v>
      </c>
      <c r="P71" s="32">
        <v>7810.45</v>
      </c>
    </row>
    <row r="72" spans="1:16" ht="14.1" customHeight="1" x14ac:dyDescent="0.25">
      <c r="A72" s="15" t="s">
        <v>123</v>
      </c>
      <c r="B72" s="16" t="s">
        <v>124</v>
      </c>
      <c r="C72" s="31">
        <v>81906.850000000006</v>
      </c>
      <c r="D72" s="32">
        <v>31116</v>
      </c>
      <c r="E72" s="31">
        <v>532885.30000000005</v>
      </c>
      <c r="F72" s="32">
        <v>47151.4</v>
      </c>
      <c r="G72" s="31">
        <v>103622</v>
      </c>
      <c r="H72" s="32">
        <v>0</v>
      </c>
      <c r="I72" s="31">
        <f>1204.8+101288.85</f>
        <v>102493.65000000001</v>
      </c>
      <c r="J72" s="32">
        <v>0</v>
      </c>
      <c r="K72" s="31">
        <v>62249</v>
      </c>
      <c r="L72" s="32">
        <v>0</v>
      </c>
      <c r="M72" s="31">
        <v>69522.8</v>
      </c>
      <c r="N72" s="32">
        <v>0</v>
      </c>
      <c r="O72" s="31">
        <v>229248.7</v>
      </c>
      <c r="P72" s="32">
        <v>5050</v>
      </c>
    </row>
    <row r="73" spans="1:16" ht="14.1" customHeight="1" x14ac:dyDescent="0.25">
      <c r="A73" s="15" t="s">
        <v>125</v>
      </c>
      <c r="B73" s="16" t="s">
        <v>126</v>
      </c>
      <c r="C73" s="31">
        <v>106956.25</v>
      </c>
      <c r="D73" s="32">
        <v>1780</v>
      </c>
      <c r="E73" s="31">
        <v>777906.05</v>
      </c>
      <c r="F73" s="32">
        <v>15288.35</v>
      </c>
      <c r="G73" s="31">
        <v>188168.5</v>
      </c>
      <c r="H73" s="32">
        <v>0</v>
      </c>
      <c r="I73" s="31">
        <v>211836.55</v>
      </c>
      <c r="J73" s="32">
        <v>0</v>
      </c>
      <c r="K73" s="31">
        <v>114161</v>
      </c>
      <c r="L73" s="32">
        <v>0</v>
      </c>
      <c r="M73" s="31">
        <v>131283.25</v>
      </c>
      <c r="N73" s="32">
        <v>0</v>
      </c>
      <c r="O73" s="31">
        <v>249564.25</v>
      </c>
      <c r="P73" s="32">
        <v>4722.05</v>
      </c>
    </row>
    <row r="74" spans="1:16" ht="14.1" customHeight="1" x14ac:dyDescent="0.25">
      <c r="A74" s="15" t="s">
        <v>127</v>
      </c>
      <c r="B74" s="16" t="s">
        <v>128</v>
      </c>
      <c r="C74" s="31">
        <v>50939.9</v>
      </c>
      <c r="D74" s="32">
        <v>0</v>
      </c>
      <c r="E74" s="31">
        <v>392091.7</v>
      </c>
      <c r="F74" s="32">
        <v>0</v>
      </c>
      <c r="G74" s="31">
        <v>103100.65</v>
      </c>
      <c r="H74" s="32">
        <v>0</v>
      </c>
      <c r="I74" s="31">
        <v>128510.15</v>
      </c>
      <c r="J74" s="32">
        <v>0</v>
      </c>
      <c r="K74" s="31">
        <v>59989</v>
      </c>
      <c r="L74" s="32">
        <v>0</v>
      </c>
      <c r="M74" s="31">
        <v>71448.800000000003</v>
      </c>
      <c r="N74" s="32">
        <v>185.75</v>
      </c>
      <c r="O74" s="31">
        <v>76149.25</v>
      </c>
      <c r="P74" s="32">
        <v>0</v>
      </c>
    </row>
    <row r="75" spans="1:16" ht="14.1" customHeight="1" x14ac:dyDescent="0.25">
      <c r="A75" s="15" t="s">
        <v>129</v>
      </c>
      <c r="B75" s="16" t="s">
        <v>130</v>
      </c>
      <c r="C75" s="31">
        <v>212642.45</v>
      </c>
      <c r="D75" s="32">
        <v>4132.95</v>
      </c>
      <c r="E75" s="31">
        <v>1615858.25</v>
      </c>
      <c r="F75" s="32">
        <v>13646.2</v>
      </c>
      <c r="G75" s="31">
        <v>377648.8</v>
      </c>
      <c r="H75" s="32">
        <v>0</v>
      </c>
      <c r="I75" s="31">
        <v>405395.65</v>
      </c>
      <c r="J75" s="32">
        <v>0</v>
      </c>
      <c r="K75" s="31">
        <v>224620</v>
      </c>
      <c r="L75" s="32">
        <v>0</v>
      </c>
      <c r="M75" s="31">
        <v>261943.15</v>
      </c>
      <c r="N75" s="32">
        <v>0</v>
      </c>
      <c r="O75" s="31">
        <v>657272.65</v>
      </c>
      <c r="P75" s="32">
        <v>199294</v>
      </c>
    </row>
    <row r="76" spans="1:16" ht="14.1" customHeight="1" x14ac:dyDescent="0.25">
      <c r="A76" s="15" t="s">
        <v>131</v>
      </c>
      <c r="B76" s="16" t="s">
        <v>132</v>
      </c>
      <c r="C76" s="31">
        <v>133098.54999999999</v>
      </c>
      <c r="D76" s="32">
        <v>0</v>
      </c>
      <c r="E76" s="31">
        <v>1095428.45</v>
      </c>
      <c r="F76" s="32">
        <v>82906.399999999994</v>
      </c>
      <c r="G76" s="31">
        <v>248959.65</v>
      </c>
      <c r="H76" s="32">
        <v>1927.3</v>
      </c>
      <c r="I76" s="31">
        <v>251442.05</v>
      </c>
      <c r="J76" s="32">
        <v>33159.35</v>
      </c>
      <c r="K76" s="31">
        <v>152860.5</v>
      </c>
      <c r="L76" s="32">
        <v>0</v>
      </c>
      <c r="M76" s="31">
        <v>207455.81</v>
      </c>
      <c r="N76" s="32">
        <v>31917.13</v>
      </c>
      <c r="O76" s="31">
        <v>409383.2</v>
      </c>
      <c r="P76" s="32">
        <v>134118.5</v>
      </c>
    </row>
    <row r="77" spans="1:16" ht="14.1" customHeight="1" x14ac:dyDescent="0.25">
      <c r="A77" s="15" t="s">
        <v>133</v>
      </c>
      <c r="B77" s="16" t="s">
        <v>134</v>
      </c>
      <c r="C77" s="31">
        <v>124400.5</v>
      </c>
      <c r="D77" s="32">
        <v>0</v>
      </c>
      <c r="E77" s="31">
        <v>967324.15</v>
      </c>
      <c r="F77" s="32">
        <v>131.25</v>
      </c>
      <c r="G77" s="31">
        <v>250042.4</v>
      </c>
      <c r="H77" s="32">
        <v>0</v>
      </c>
      <c r="I77" s="31">
        <f>9000+306062.45</f>
        <v>315062.45</v>
      </c>
      <c r="J77" s="32">
        <v>0</v>
      </c>
      <c r="K77" s="31">
        <v>137593</v>
      </c>
      <c r="L77" s="32">
        <v>0</v>
      </c>
      <c r="M77" s="31">
        <v>164922.45000000001</v>
      </c>
      <c r="N77" s="32">
        <v>0</v>
      </c>
      <c r="O77" s="31">
        <v>365888.7</v>
      </c>
      <c r="P77" s="32">
        <v>90136.88</v>
      </c>
    </row>
    <row r="78" spans="1:16" ht="14.1" customHeight="1" x14ac:dyDescent="0.25">
      <c r="A78" s="15" t="s">
        <v>135</v>
      </c>
      <c r="B78" s="16" t="s">
        <v>136</v>
      </c>
      <c r="C78" s="31">
        <v>92684.6</v>
      </c>
      <c r="D78" s="32">
        <v>1380</v>
      </c>
      <c r="E78" s="31">
        <v>599935.6</v>
      </c>
      <c r="F78" s="32">
        <v>4180</v>
      </c>
      <c r="G78" s="31">
        <v>165369.15</v>
      </c>
      <c r="H78" s="32">
        <v>655</v>
      </c>
      <c r="I78" s="31">
        <v>254685</v>
      </c>
      <c r="J78" s="32">
        <v>0</v>
      </c>
      <c r="K78" s="31">
        <v>91093.5</v>
      </c>
      <c r="L78" s="32">
        <v>0</v>
      </c>
      <c r="M78" s="31">
        <v>109158.7</v>
      </c>
      <c r="N78" s="32">
        <v>10616.75</v>
      </c>
      <c r="O78" s="31">
        <v>207293.95</v>
      </c>
      <c r="P78" s="32">
        <v>4542.5</v>
      </c>
    </row>
    <row r="79" spans="1:16" ht="14.1" customHeight="1" x14ac:dyDescent="0.25">
      <c r="A79" s="15" t="s">
        <v>137</v>
      </c>
      <c r="B79" s="16" t="s">
        <v>138</v>
      </c>
      <c r="C79" s="31">
        <v>89904.25</v>
      </c>
      <c r="D79" s="32">
        <v>0</v>
      </c>
      <c r="E79" s="31">
        <v>678169.4</v>
      </c>
      <c r="F79" s="32">
        <v>7455</v>
      </c>
      <c r="G79" s="31">
        <v>178949.5</v>
      </c>
      <c r="H79" s="32">
        <v>1100</v>
      </c>
      <c r="I79" s="31">
        <v>190584.7</v>
      </c>
      <c r="J79" s="32">
        <v>0</v>
      </c>
      <c r="K79" s="31">
        <v>99425</v>
      </c>
      <c r="L79" s="32">
        <v>0</v>
      </c>
      <c r="M79" s="31">
        <v>130186.95</v>
      </c>
      <c r="N79" s="32">
        <v>0</v>
      </c>
      <c r="O79" s="31">
        <v>228894.4</v>
      </c>
      <c r="P79" s="32">
        <v>84266.6</v>
      </c>
    </row>
    <row r="80" spans="1:16" ht="14.1" customHeight="1" x14ac:dyDescent="0.25">
      <c r="A80" s="15" t="s">
        <v>139</v>
      </c>
      <c r="B80" s="16" t="s">
        <v>140</v>
      </c>
      <c r="C80" s="31">
        <v>195245.8</v>
      </c>
      <c r="D80" s="32">
        <v>0</v>
      </c>
      <c r="E80" s="31">
        <v>1422357.95</v>
      </c>
      <c r="F80" s="32">
        <v>21930</v>
      </c>
      <c r="G80" s="31">
        <v>365974.95</v>
      </c>
      <c r="H80" s="32">
        <v>0</v>
      </c>
      <c r="I80" s="31">
        <f>7500+439543.6</f>
        <v>447043.6</v>
      </c>
      <c r="J80" s="32">
        <v>0</v>
      </c>
      <c r="K80" s="31">
        <v>0</v>
      </c>
      <c r="L80" s="32">
        <v>0</v>
      </c>
      <c r="M80" s="31">
        <v>433558.75</v>
      </c>
      <c r="N80" s="32">
        <v>0</v>
      </c>
      <c r="O80" s="31">
        <v>477241.75</v>
      </c>
      <c r="P80" s="32">
        <v>4162.8999999999996</v>
      </c>
    </row>
    <row r="81" spans="1:16" ht="14.1" customHeight="1" x14ac:dyDescent="0.25">
      <c r="A81" s="33">
        <v>2162</v>
      </c>
      <c r="B81" s="34" t="s">
        <v>112</v>
      </c>
      <c r="C81" s="35">
        <v>103360.15</v>
      </c>
      <c r="D81" s="36">
        <v>0</v>
      </c>
      <c r="E81" s="35">
        <v>738707.55</v>
      </c>
      <c r="F81" s="36">
        <v>0</v>
      </c>
      <c r="G81" s="35">
        <v>199496.9</v>
      </c>
      <c r="H81" s="36">
        <v>0</v>
      </c>
      <c r="I81" s="35">
        <v>320660.09999999998</v>
      </c>
      <c r="J81" s="36">
        <v>0</v>
      </c>
      <c r="K81" s="35">
        <v>108645</v>
      </c>
      <c r="L81" s="36">
        <v>0</v>
      </c>
      <c r="M81" s="35">
        <v>139175.9</v>
      </c>
      <c r="N81" s="36">
        <v>5715.45</v>
      </c>
      <c r="O81" s="35">
        <v>406730.4</v>
      </c>
      <c r="P81" s="36">
        <v>35006.129999999997</v>
      </c>
    </row>
    <row r="82" spans="1:16" ht="14.1" customHeight="1" x14ac:dyDescent="0.25">
      <c r="A82" s="15" t="s">
        <v>141</v>
      </c>
      <c r="B82" s="16" t="s">
        <v>142</v>
      </c>
      <c r="C82" s="31">
        <v>68902.899999999994</v>
      </c>
      <c r="D82" s="32">
        <v>0</v>
      </c>
      <c r="E82" s="31">
        <v>590978.69999999995</v>
      </c>
      <c r="F82" s="32">
        <v>2520</v>
      </c>
      <c r="G82" s="31">
        <v>134357.54999999999</v>
      </c>
      <c r="H82" s="32">
        <v>0</v>
      </c>
      <c r="I82" s="31">
        <v>174991.6</v>
      </c>
      <c r="J82" s="32">
        <v>0</v>
      </c>
      <c r="K82" s="31">
        <v>49913.599999999999</v>
      </c>
      <c r="L82" s="32">
        <v>0</v>
      </c>
      <c r="M82" s="31">
        <v>153757.79999999999</v>
      </c>
      <c r="N82" s="32">
        <v>0</v>
      </c>
      <c r="O82" s="31">
        <v>304557.34999999998</v>
      </c>
      <c r="P82" s="32">
        <v>804.6</v>
      </c>
    </row>
    <row r="83" spans="1:16" ht="14.1" customHeight="1" x14ac:dyDescent="0.25">
      <c r="A83" s="15" t="s">
        <v>143</v>
      </c>
      <c r="B83" s="16" t="s">
        <v>144</v>
      </c>
      <c r="C83" s="31">
        <v>6434.4</v>
      </c>
      <c r="D83" s="32">
        <v>0</v>
      </c>
      <c r="E83" s="31">
        <v>85973.85</v>
      </c>
      <c r="F83" s="32">
        <v>21579.75</v>
      </c>
      <c r="G83" s="31">
        <v>13665.8</v>
      </c>
      <c r="H83" s="32">
        <v>0</v>
      </c>
      <c r="I83" s="31">
        <v>16525.45</v>
      </c>
      <c r="J83" s="32">
        <v>0</v>
      </c>
      <c r="K83" s="31">
        <v>4701.6000000000004</v>
      </c>
      <c r="L83" s="32">
        <v>0</v>
      </c>
      <c r="M83" s="31">
        <v>11071.8</v>
      </c>
      <c r="N83" s="32">
        <v>0</v>
      </c>
      <c r="O83" s="31">
        <v>7011.95</v>
      </c>
      <c r="P83" s="32">
        <v>0</v>
      </c>
    </row>
    <row r="84" spans="1:16" ht="14.1" customHeight="1" x14ac:dyDescent="0.25">
      <c r="A84" s="15" t="s">
        <v>145</v>
      </c>
      <c r="B84" s="16" t="s">
        <v>146</v>
      </c>
      <c r="C84" s="31">
        <v>62474.75</v>
      </c>
      <c r="D84" s="32">
        <v>431.95</v>
      </c>
      <c r="E84" s="31">
        <v>579461.1</v>
      </c>
      <c r="F84" s="32">
        <v>57498.8</v>
      </c>
      <c r="G84" s="31">
        <v>127338.6</v>
      </c>
      <c r="H84" s="32">
        <v>0</v>
      </c>
      <c r="I84" s="31">
        <v>155908.6</v>
      </c>
      <c r="J84" s="32">
        <v>0</v>
      </c>
      <c r="K84" s="31">
        <v>45893.1</v>
      </c>
      <c r="L84" s="32">
        <v>0</v>
      </c>
      <c r="M84" s="31">
        <v>130810.35</v>
      </c>
      <c r="N84" s="32">
        <v>11023.6</v>
      </c>
      <c r="O84" s="31">
        <v>176791.35</v>
      </c>
      <c r="P84" s="32">
        <v>0</v>
      </c>
    </row>
    <row r="85" spans="1:16" ht="14.1" customHeight="1" x14ac:dyDescent="0.25">
      <c r="A85" s="15" t="s">
        <v>147</v>
      </c>
      <c r="B85" s="16" t="s">
        <v>148</v>
      </c>
      <c r="C85" s="31">
        <v>152372.65</v>
      </c>
      <c r="D85" s="32">
        <v>0</v>
      </c>
      <c r="E85" s="31">
        <v>1410385.25</v>
      </c>
      <c r="F85" s="32">
        <v>12101.85</v>
      </c>
      <c r="G85" s="31">
        <v>346622.8</v>
      </c>
      <c r="H85" s="32">
        <v>0</v>
      </c>
      <c r="I85" s="31">
        <v>494493.1</v>
      </c>
      <c r="J85" s="32">
        <v>0</v>
      </c>
      <c r="K85" s="31">
        <v>122720.4</v>
      </c>
      <c r="L85" s="32">
        <v>0</v>
      </c>
      <c r="M85" s="31">
        <v>323587.3</v>
      </c>
      <c r="N85" s="32">
        <v>5688</v>
      </c>
      <c r="O85" s="31">
        <v>293631.15000000002</v>
      </c>
      <c r="P85" s="32">
        <v>16298.05</v>
      </c>
    </row>
    <row r="86" spans="1:16" ht="14.1" customHeight="1" x14ac:dyDescent="0.25">
      <c r="A86" s="15" t="s">
        <v>149</v>
      </c>
      <c r="B86" s="16" t="s">
        <v>150</v>
      </c>
      <c r="C86" s="31">
        <v>252234.4</v>
      </c>
      <c r="D86" s="32">
        <v>0</v>
      </c>
      <c r="E86" s="31">
        <v>2221047.9500000002</v>
      </c>
      <c r="F86" s="32">
        <v>185389</v>
      </c>
      <c r="G86" s="31">
        <v>505471.5</v>
      </c>
      <c r="H86" s="32">
        <v>0</v>
      </c>
      <c r="I86" s="31">
        <v>621046.65</v>
      </c>
      <c r="J86" s="32">
        <v>0</v>
      </c>
      <c r="K86" s="31">
        <v>185840.9</v>
      </c>
      <c r="L86" s="32">
        <v>0</v>
      </c>
      <c r="M86" s="31">
        <v>500394.45</v>
      </c>
      <c r="N86" s="32">
        <v>19730.400000000001</v>
      </c>
      <c r="O86" s="31">
        <v>394042.75</v>
      </c>
      <c r="P86" s="32">
        <v>10930.7</v>
      </c>
    </row>
    <row r="87" spans="1:16" ht="14.1" customHeight="1" x14ac:dyDescent="0.25">
      <c r="A87" s="15" t="s">
        <v>151</v>
      </c>
      <c r="B87" s="16" t="s">
        <v>152</v>
      </c>
      <c r="C87" s="31">
        <v>59236.1</v>
      </c>
      <c r="D87" s="32">
        <v>0</v>
      </c>
      <c r="E87" s="31">
        <v>505532.9</v>
      </c>
      <c r="F87" s="32">
        <v>5802.5</v>
      </c>
      <c r="G87" s="31">
        <v>120638.05</v>
      </c>
      <c r="H87" s="32">
        <v>0</v>
      </c>
      <c r="I87" s="31">
        <v>145693.70000000001</v>
      </c>
      <c r="J87" s="32">
        <v>2167.1</v>
      </c>
      <c r="K87" s="31">
        <v>43671</v>
      </c>
      <c r="L87" s="32">
        <v>0</v>
      </c>
      <c r="M87" s="31">
        <v>123855.2</v>
      </c>
      <c r="N87" s="32">
        <v>6835.15</v>
      </c>
      <c r="O87" s="31">
        <v>83810.5</v>
      </c>
      <c r="P87" s="32">
        <v>16247.5</v>
      </c>
    </row>
    <row r="88" spans="1:16" ht="14.1" customHeight="1" x14ac:dyDescent="0.25">
      <c r="A88" s="15" t="s">
        <v>153</v>
      </c>
      <c r="B88" s="16" t="s">
        <v>154</v>
      </c>
      <c r="C88" s="31">
        <v>11762.05</v>
      </c>
      <c r="D88" s="32">
        <v>0</v>
      </c>
      <c r="E88" s="31">
        <v>143893.1</v>
      </c>
      <c r="F88" s="32">
        <v>1450</v>
      </c>
      <c r="G88" s="31">
        <v>21843.95</v>
      </c>
      <c r="H88" s="32">
        <v>0</v>
      </c>
      <c r="I88" s="31">
        <v>29601.55</v>
      </c>
      <c r="J88" s="32">
        <v>0</v>
      </c>
      <c r="K88" s="31">
        <v>9677.7000000000007</v>
      </c>
      <c r="L88" s="32">
        <v>0</v>
      </c>
      <c r="M88" s="31">
        <v>16992.490000000002</v>
      </c>
      <c r="N88" s="32">
        <v>0</v>
      </c>
      <c r="O88" s="31">
        <v>42711.55</v>
      </c>
      <c r="P88" s="32">
        <v>0</v>
      </c>
    </row>
    <row r="89" spans="1:16" ht="14.1" customHeight="1" x14ac:dyDescent="0.25">
      <c r="A89" s="15" t="s">
        <v>155</v>
      </c>
      <c r="B89" s="16" t="s">
        <v>156</v>
      </c>
      <c r="C89" s="31">
        <v>190711.6</v>
      </c>
      <c r="D89" s="32">
        <v>0</v>
      </c>
      <c r="E89" s="31">
        <v>1695659.66</v>
      </c>
      <c r="F89" s="32">
        <v>70131</v>
      </c>
      <c r="G89" s="31">
        <v>450353.75</v>
      </c>
      <c r="H89" s="32">
        <v>0</v>
      </c>
      <c r="I89" s="31">
        <v>524610.05000000005</v>
      </c>
      <c r="J89" s="32">
        <v>0</v>
      </c>
      <c r="K89" s="31">
        <v>158022.29999999999</v>
      </c>
      <c r="L89" s="32">
        <v>0</v>
      </c>
      <c r="M89" s="31">
        <v>358099.45</v>
      </c>
      <c r="N89" s="32">
        <v>9855.2999999999993</v>
      </c>
      <c r="O89" s="31">
        <v>712441.9</v>
      </c>
      <c r="P89" s="32">
        <v>164035.15</v>
      </c>
    </row>
    <row r="90" spans="1:16" ht="14.1" customHeight="1" x14ac:dyDescent="0.25">
      <c r="A90" s="15" t="s">
        <v>157</v>
      </c>
      <c r="B90" s="16" t="s">
        <v>158</v>
      </c>
      <c r="C90" s="31">
        <v>103667</v>
      </c>
      <c r="D90" s="32">
        <v>0</v>
      </c>
      <c r="E90" s="31">
        <v>908305.75</v>
      </c>
      <c r="F90" s="32">
        <v>40823.599999999999</v>
      </c>
      <c r="G90" s="31">
        <v>225356.65</v>
      </c>
      <c r="H90" s="32">
        <v>0</v>
      </c>
      <c r="I90" s="31">
        <v>263917.2</v>
      </c>
      <c r="J90" s="32">
        <v>0</v>
      </c>
      <c r="K90" s="31">
        <v>77219.600000000006</v>
      </c>
      <c r="L90" s="32">
        <v>0</v>
      </c>
      <c r="M90" s="31">
        <v>221782.2</v>
      </c>
      <c r="N90" s="32">
        <v>0</v>
      </c>
      <c r="O90" s="31">
        <v>287751.45</v>
      </c>
      <c r="P90" s="32">
        <v>1114</v>
      </c>
    </row>
    <row r="91" spans="1:16" ht="14.1" customHeight="1" x14ac:dyDescent="0.25">
      <c r="A91" s="15" t="s">
        <v>159</v>
      </c>
      <c r="B91" s="16" t="s">
        <v>160</v>
      </c>
      <c r="C91" s="31">
        <v>29670.25</v>
      </c>
      <c r="D91" s="32">
        <v>0</v>
      </c>
      <c r="E91" s="31">
        <v>378585.32</v>
      </c>
      <c r="F91" s="32">
        <v>0</v>
      </c>
      <c r="G91" s="31">
        <v>59845.75</v>
      </c>
      <c r="H91" s="32">
        <v>0</v>
      </c>
      <c r="I91" s="31">
        <v>74664.95</v>
      </c>
      <c r="J91" s="32">
        <v>0</v>
      </c>
      <c r="K91" s="31">
        <v>22215</v>
      </c>
      <c r="L91" s="32">
        <v>0</v>
      </c>
      <c r="M91" s="31">
        <v>58353.75</v>
      </c>
      <c r="N91" s="32">
        <v>0</v>
      </c>
      <c r="O91" s="31">
        <v>25699.200000000001</v>
      </c>
      <c r="P91" s="32">
        <v>0</v>
      </c>
    </row>
    <row r="92" spans="1:16" ht="14.1" customHeight="1" x14ac:dyDescent="0.25">
      <c r="A92" s="15" t="s">
        <v>161</v>
      </c>
      <c r="B92" s="16" t="s">
        <v>162</v>
      </c>
      <c r="C92" s="31">
        <v>118233.9</v>
      </c>
      <c r="D92" s="32">
        <v>0</v>
      </c>
      <c r="E92" s="31">
        <f>1075462.74-94904.2</f>
        <v>980558.54</v>
      </c>
      <c r="F92" s="32">
        <v>3760</v>
      </c>
      <c r="G92" s="31">
        <v>250277.05</v>
      </c>
      <c r="H92" s="32">
        <v>0</v>
      </c>
      <c r="I92" s="31">
        <v>302078.95</v>
      </c>
      <c r="J92" s="32">
        <v>0</v>
      </c>
      <c r="K92" s="31">
        <v>89991.2</v>
      </c>
      <c r="L92" s="32">
        <v>0</v>
      </c>
      <c r="M92" s="31">
        <v>239910.8</v>
      </c>
      <c r="N92" s="32">
        <v>7987.3</v>
      </c>
      <c r="O92" s="31">
        <v>279875.34999999998</v>
      </c>
      <c r="P92" s="32">
        <v>8758.75</v>
      </c>
    </row>
    <row r="93" spans="1:16" ht="14.1" customHeight="1" x14ac:dyDescent="0.25">
      <c r="A93" s="15" t="s">
        <v>163</v>
      </c>
      <c r="B93" s="16" t="s">
        <v>164</v>
      </c>
      <c r="C93" s="31">
        <v>91334.25</v>
      </c>
      <c r="D93" s="32">
        <v>0</v>
      </c>
      <c r="E93" s="31">
        <v>756087.9</v>
      </c>
      <c r="F93" s="32">
        <v>3804.4</v>
      </c>
      <c r="G93" s="31">
        <v>191983.85</v>
      </c>
      <c r="H93" s="32">
        <v>0</v>
      </c>
      <c r="I93" s="31">
        <v>239573.85</v>
      </c>
      <c r="J93" s="32">
        <v>0</v>
      </c>
      <c r="K93" s="31">
        <v>58789.5</v>
      </c>
      <c r="L93" s="32">
        <v>0</v>
      </c>
      <c r="M93" s="31">
        <v>130631.65</v>
      </c>
      <c r="N93" s="32">
        <v>10611.95</v>
      </c>
      <c r="O93" s="31">
        <v>121766.95</v>
      </c>
      <c r="P93" s="32">
        <v>434.6</v>
      </c>
    </row>
    <row r="94" spans="1:16" ht="14.1" customHeight="1" x14ac:dyDescent="0.25">
      <c r="A94" s="15" t="s">
        <v>165</v>
      </c>
      <c r="B94" s="16" t="s">
        <v>333</v>
      </c>
      <c r="C94" s="31">
        <v>187047.5</v>
      </c>
      <c r="D94" s="32">
        <v>0</v>
      </c>
      <c r="E94" s="31">
        <v>1573157.65</v>
      </c>
      <c r="F94" s="32">
        <v>44000.1</v>
      </c>
      <c r="G94" s="31">
        <v>400466.8</v>
      </c>
      <c r="H94" s="32">
        <v>0</v>
      </c>
      <c r="I94" s="31">
        <v>473435.65</v>
      </c>
      <c r="J94" s="32">
        <v>0</v>
      </c>
      <c r="K94" s="31">
        <v>133092.5</v>
      </c>
      <c r="L94" s="32">
        <v>0</v>
      </c>
      <c r="M94" s="31">
        <v>475151.7</v>
      </c>
      <c r="N94" s="32">
        <v>40066.6</v>
      </c>
      <c r="O94" s="31">
        <v>514852.85</v>
      </c>
      <c r="P94" s="32">
        <v>24259.5</v>
      </c>
    </row>
    <row r="95" spans="1:16" ht="14.1" customHeight="1" x14ac:dyDescent="0.25">
      <c r="A95" s="15" t="s">
        <v>166</v>
      </c>
      <c r="B95" s="16" t="s">
        <v>167</v>
      </c>
      <c r="C95" s="31">
        <v>23325.1</v>
      </c>
      <c r="D95" s="32">
        <v>0</v>
      </c>
      <c r="E95" s="31">
        <v>255745.5</v>
      </c>
      <c r="F95" s="32">
        <v>0</v>
      </c>
      <c r="G95" s="31">
        <v>38521.9</v>
      </c>
      <c r="H95" s="32">
        <v>0</v>
      </c>
      <c r="I95" s="31">
        <v>71740.45</v>
      </c>
      <c r="J95" s="32">
        <v>0</v>
      </c>
      <c r="K95" s="31">
        <v>31678.1</v>
      </c>
      <c r="L95" s="32">
        <v>0</v>
      </c>
      <c r="M95" s="31">
        <v>48090.85</v>
      </c>
      <c r="N95" s="32">
        <v>0</v>
      </c>
      <c r="O95" s="31">
        <v>81400.800000000003</v>
      </c>
      <c r="P95" s="32">
        <v>863.9</v>
      </c>
    </row>
    <row r="96" spans="1:16" ht="14.1" customHeight="1" x14ac:dyDescent="0.25">
      <c r="A96" s="15" t="s">
        <v>168</v>
      </c>
      <c r="B96" s="16" t="s">
        <v>169</v>
      </c>
      <c r="C96" s="31">
        <v>4502287.79</v>
      </c>
      <c r="D96" s="32">
        <v>11388</v>
      </c>
      <c r="E96" s="31">
        <v>47310189.32</v>
      </c>
      <c r="F96" s="32">
        <v>9122867.0099999998</v>
      </c>
      <c r="G96" s="31">
        <v>6501364.5</v>
      </c>
      <c r="H96" s="32">
        <v>418268.45</v>
      </c>
      <c r="I96" s="31">
        <v>8373876.5499999998</v>
      </c>
      <c r="J96" s="32">
        <v>0</v>
      </c>
      <c r="K96" s="31">
        <v>2404231.9</v>
      </c>
      <c r="L96" s="32">
        <v>0</v>
      </c>
      <c r="M96" s="31">
        <v>21769657.350000001</v>
      </c>
      <c r="N96" s="32">
        <v>11125817.720000001</v>
      </c>
      <c r="O96" s="31">
        <v>10194788.18</v>
      </c>
      <c r="P96" s="32">
        <v>8616722.4900000002</v>
      </c>
    </row>
    <row r="97" spans="1:16" ht="14.1" customHeight="1" x14ac:dyDescent="0.25">
      <c r="A97" s="15" t="s">
        <v>170</v>
      </c>
      <c r="B97" s="16" t="s">
        <v>171</v>
      </c>
      <c r="C97" s="31">
        <v>297017.7</v>
      </c>
      <c r="D97" s="32">
        <v>4620</v>
      </c>
      <c r="E97" s="31">
        <v>2392592</v>
      </c>
      <c r="F97" s="32">
        <v>13600</v>
      </c>
      <c r="G97" s="31">
        <v>563877.65</v>
      </c>
      <c r="H97" s="32">
        <v>18800</v>
      </c>
      <c r="I97" s="31">
        <v>736085.25</v>
      </c>
      <c r="J97" s="32">
        <v>0</v>
      </c>
      <c r="K97" s="31">
        <v>225509.1</v>
      </c>
      <c r="L97" s="32">
        <v>0</v>
      </c>
      <c r="M97" s="31">
        <v>577529.80000000005</v>
      </c>
      <c r="N97" s="32">
        <v>32699.5</v>
      </c>
      <c r="O97" s="31">
        <v>799303.04</v>
      </c>
      <c r="P97" s="32">
        <v>58985.85</v>
      </c>
    </row>
    <row r="98" spans="1:16" ht="14.1" customHeight="1" x14ac:dyDescent="0.25">
      <c r="A98" s="15" t="s">
        <v>172</v>
      </c>
      <c r="B98" s="16" t="s">
        <v>173</v>
      </c>
      <c r="C98" s="31">
        <v>233072.15</v>
      </c>
      <c r="D98" s="32">
        <v>0</v>
      </c>
      <c r="E98" s="31">
        <v>2141509.0499999998</v>
      </c>
      <c r="F98" s="32">
        <v>0</v>
      </c>
      <c r="G98" s="31">
        <v>514771.5</v>
      </c>
      <c r="H98" s="32">
        <v>18495</v>
      </c>
      <c r="I98" s="31">
        <v>671122.5</v>
      </c>
      <c r="J98" s="32">
        <v>95000</v>
      </c>
      <c r="K98" s="31">
        <v>208290.7</v>
      </c>
      <c r="L98" s="32">
        <v>0</v>
      </c>
      <c r="M98" s="31">
        <v>458578.8</v>
      </c>
      <c r="N98" s="32">
        <v>54765.4</v>
      </c>
      <c r="O98" s="31">
        <v>721372.37</v>
      </c>
      <c r="P98" s="32">
        <v>133552.75</v>
      </c>
    </row>
    <row r="99" spans="1:16" ht="14.1" customHeight="1" x14ac:dyDescent="0.25">
      <c r="A99" s="15" t="s">
        <v>174</v>
      </c>
      <c r="B99" s="16" t="s">
        <v>175</v>
      </c>
      <c r="C99" s="31">
        <v>166174.6</v>
      </c>
      <c r="D99" s="32">
        <v>0</v>
      </c>
      <c r="E99" s="31">
        <v>1279448.26</v>
      </c>
      <c r="F99" s="32">
        <v>35241.4</v>
      </c>
      <c r="G99" s="31">
        <v>325959.84999999998</v>
      </c>
      <c r="H99" s="32">
        <v>0</v>
      </c>
      <c r="I99" s="31">
        <v>390364.1</v>
      </c>
      <c r="J99" s="32">
        <v>0</v>
      </c>
      <c r="K99" s="31">
        <v>117996.3</v>
      </c>
      <c r="L99" s="32">
        <v>0</v>
      </c>
      <c r="M99" s="31">
        <v>305478.84999999998</v>
      </c>
      <c r="N99" s="32">
        <v>5036.1499999999996</v>
      </c>
      <c r="O99" s="31">
        <v>344031.45</v>
      </c>
      <c r="P99" s="32">
        <v>51428.800000000003</v>
      </c>
    </row>
    <row r="100" spans="1:16" ht="14.1" customHeight="1" x14ac:dyDescent="0.25">
      <c r="A100" s="15" t="s">
        <v>177</v>
      </c>
      <c r="B100" s="16" t="s">
        <v>178</v>
      </c>
      <c r="C100" s="31">
        <v>683141.1</v>
      </c>
      <c r="D100" s="32">
        <v>1440</v>
      </c>
      <c r="E100" s="31">
        <f>5988391.31-78522.9</f>
        <v>5909868.4099999992</v>
      </c>
      <c r="F100" s="32">
        <f>233392.8-115557.05</f>
        <v>117835.74999999999</v>
      </c>
      <c r="G100" s="31">
        <v>1439005.1</v>
      </c>
      <c r="H100" s="32">
        <v>85912.45</v>
      </c>
      <c r="I100" s="31">
        <v>1768006.3</v>
      </c>
      <c r="J100" s="32">
        <v>0</v>
      </c>
      <c r="K100" s="31">
        <v>475577.9</v>
      </c>
      <c r="L100" s="32">
        <v>0</v>
      </c>
      <c r="M100" s="31">
        <v>2626943.4</v>
      </c>
      <c r="N100" s="32">
        <v>1397415.4</v>
      </c>
      <c r="O100" s="31">
        <v>647669.65</v>
      </c>
      <c r="P100" s="32">
        <v>21250</v>
      </c>
    </row>
    <row r="101" spans="1:16" ht="14.1" customHeight="1" x14ac:dyDescent="0.25">
      <c r="A101" s="15" t="s">
        <v>179</v>
      </c>
      <c r="B101" s="16" t="s">
        <v>180</v>
      </c>
      <c r="C101" s="31">
        <v>138699.35</v>
      </c>
      <c r="D101" s="32">
        <v>0</v>
      </c>
      <c r="E101" s="31">
        <f>1327835.4-100886.1</f>
        <v>1226949.2999999998</v>
      </c>
      <c r="F101" s="32">
        <v>25287</v>
      </c>
      <c r="G101" s="31">
        <v>284055.2</v>
      </c>
      <c r="H101" s="32">
        <v>0</v>
      </c>
      <c r="I101" s="31">
        <v>351268</v>
      </c>
      <c r="J101" s="32">
        <v>0</v>
      </c>
      <c r="K101" s="31">
        <v>111863.2</v>
      </c>
      <c r="L101" s="32">
        <v>0</v>
      </c>
      <c r="M101" s="31">
        <v>265103.55</v>
      </c>
      <c r="N101" s="32">
        <v>0</v>
      </c>
      <c r="O101" s="31">
        <v>436346</v>
      </c>
      <c r="P101" s="32">
        <v>0</v>
      </c>
    </row>
    <row r="102" spans="1:16" ht="14.1" customHeight="1" x14ac:dyDescent="0.25">
      <c r="A102" s="15" t="s">
        <v>181</v>
      </c>
      <c r="B102" s="16" t="s">
        <v>182</v>
      </c>
      <c r="C102" s="31">
        <v>191284.1</v>
      </c>
      <c r="D102" s="32">
        <v>0</v>
      </c>
      <c r="E102" s="31">
        <f>996371.2+643833</f>
        <v>1640204.2</v>
      </c>
      <c r="F102" s="32">
        <v>15017.95</v>
      </c>
      <c r="G102" s="31">
        <v>407532.75</v>
      </c>
      <c r="H102" s="32">
        <v>0</v>
      </c>
      <c r="I102" s="31">
        <v>498104.15</v>
      </c>
      <c r="J102" s="32">
        <v>0</v>
      </c>
      <c r="K102" s="31">
        <v>144637.5</v>
      </c>
      <c r="L102" s="32">
        <v>0</v>
      </c>
      <c r="M102" s="31">
        <v>396335.4</v>
      </c>
      <c r="N102" s="32">
        <v>25331.05</v>
      </c>
      <c r="O102" s="31">
        <v>236450.05</v>
      </c>
      <c r="P102" s="32">
        <v>65916.3</v>
      </c>
    </row>
    <row r="103" spans="1:16" ht="14.1" customHeight="1" x14ac:dyDescent="0.25">
      <c r="A103" s="15" t="s">
        <v>183</v>
      </c>
      <c r="B103" s="16" t="s">
        <v>184</v>
      </c>
      <c r="C103" s="31">
        <v>50582.35</v>
      </c>
      <c r="D103" s="32">
        <v>0</v>
      </c>
      <c r="E103" s="31">
        <v>522502.28</v>
      </c>
      <c r="F103" s="32">
        <v>97777.43</v>
      </c>
      <c r="G103" s="31">
        <v>97613.5</v>
      </c>
      <c r="H103" s="32">
        <v>0</v>
      </c>
      <c r="I103" s="31">
        <v>124258.25</v>
      </c>
      <c r="J103" s="32">
        <v>0</v>
      </c>
      <c r="K103" s="31">
        <v>36212.6</v>
      </c>
      <c r="L103" s="32">
        <v>0</v>
      </c>
      <c r="M103" s="31">
        <v>93364.5</v>
      </c>
      <c r="N103" s="32">
        <v>220</v>
      </c>
      <c r="O103" s="31">
        <v>114957.52</v>
      </c>
      <c r="P103" s="32">
        <v>281.25</v>
      </c>
    </row>
    <row r="104" spans="1:16" ht="14.1" customHeight="1" x14ac:dyDescent="0.25">
      <c r="A104" s="15" t="s">
        <v>185</v>
      </c>
      <c r="B104" s="16" t="s">
        <v>186</v>
      </c>
      <c r="C104" s="31">
        <v>13047.75</v>
      </c>
      <c r="D104" s="32">
        <v>0</v>
      </c>
      <c r="E104" s="31">
        <v>212424</v>
      </c>
      <c r="F104" s="32">
        <v>41328</v>
      </c>
      <c r="G104" s="31">
        <v>32648.1</v>
      </c>
      <c r="H104" s="32">
        <v>0</v>
      </c>
      <c r="I104" s="31">
        <v>34581.800000000003</v>
      </c>
      <c r="J104" s="32">
        <v>0</v>
      </c>
      <c r="K104" s="31">
        <v>9882.7000000000007</v>
      </c>
      <c r="L104" s="32">
        <v>0</v>
      </c>
      <c r="M104" s="31">
        <v>26714.55</v>
      </c>
      <c r="N104" s="32">
        <v>0</v>
      </c>
      <c r="O104" s="31">
        <v>26372.65</v>
      </c>
      <c r="P104" s="32">
        <v>0</v>
      </c>
    </row>
    <row r="105" spans="1:16" ht="14.1" customHeight="1" x14ac:dyDescent="0.25">
      <c r="A105" s="15" t="s">
        <v>187</v>
      </c>
      <c r="B105" s="16" t="s">
        <v>188</v>
      </c>
      <c r="C105" s="31">
        <v>57463.75</v>
      </c>
      <c r="D105" s="32">
        <v>0</v>
      </c>
      <c r="E105" s="31">
        <v>518382.45</v>
      </c>
      <c r="F105" s="32">
        <v>968.15</v>
      </c>
      <c r="G105" s="31">
        <v>118508.75</v>
      </c>
      <c r="H105" s="32">
        <v>0</v>
      </c>
      <c r="I105" s="31">
        <v>143455.04999999999</v>
      </c>
      <c r="J105" s="32">
        <v>0</v>
      </c>
      <c r="K105" s="31">
        <v>43208.2</v>
      </c>
      <c r="L105" s="32">
        <v>0</v>
      </c>
      <c r="M105" s="31">
        <v>85195.4</v>
      </c>
      <c r="N105" s="32">
        <v>0</v>
      </c>
      <c r="O105" s="31">
        <v>132146.6</v>
      </c>
      <c r="P105" s="32">
        <v>0</v>
      </c>
    </row>
    <row r="106" spans="1:16" ht="14.1" customHeight="1" x14ac:dyDescent="0.25">
      <c r="A106" s="15">
        <v>2220</v>
      </c>
      <c r="B106" s="16" t="s">
        <v>189</v>
      </c>
      <c r="C106" s="31">
        <v>269865.45</v>
      </c>
      <c r="D106" s="32">
        <v>1800</v>
      </c>
      <c r="E106" s="31">
        <f>2150622.75+22554.15</f>
        <v>2173176.9</v>
      </c>
      <c r="F106" s="32">
        <v>26127.200000000001</v>
      </c>
      <c r="G106" s="31">
        <v>267592.95</v>
      </c>
      <c r="H106" s="32">
        <v>26326</v>
      </c>
      <c r="I106" s="31">
        <v>659418.55000000005</v>
      </c>
      <c r="J106" s="32">
        <v>850</v>
      </c>
      <c r="K106" s="31">
        <v>193161.5</v>
      </c>
      <c r="L106" s="32">
        <v>0</v>
      </c>
      <c r="M106" s="31">
        <v>561863.25</v>
      </c>
      <c r="N106" s="32">
        <v>63867.25</v>
      </c>
      <c r="O106" s="31">
        <v>780513.6</v>
      </c>
      <c r="P106" s="32">
        <v>158663.45000000001</v>
      </c>
    </row>
    <row r="107" spans="1:16" ht="14.1" customHeight="1" x14ac:dyDescent="0.25">
      <c r="A107" s="15" t="s">
        <v>190</v>
      </c>
      <c r="B107" s="16" t="s">
        <v>191</v>
      </c>
      <c r="C107" s="31">
        <v>80550.55</v>
      </c>
      <c r="D107" s="32">
        <v>0</v>
      </c>
      <c r="E107" s="31">
        <v>659162.9</v>
      </c>
      <c r="F107" s="32">
        <v>7734.25</v>
      </c>
      <c r="G107" s="31">
        <v>171535.3</v>
      </c>
      <c r="H107" s="32">
        <v>0</v>
      </c>
      <c r="I107" s="31">
        <v>202193.75</v>
      </c>
      <c r="J107" s="32">
        <v>0</v>
      </c>
      <c r="K107" s="31">
        <v>60445.9</v>
      </c>
      <c r="L107" s="32">
        <v>0</v>
      </c>
      <c r="M107" s="31">
        <v>146986.29999999999</v>
      </c>
      <c r="N107" s="32">
        <v>0</v>
      </c>
      <c r="O107" s="31">
        <v>161551.04999999999</v>
      </c>
      <c r="P107" s="32">
        <v>2715.25</v>
      </c>
    </row>
    <row r="108" spans="1:16" ht="14.1" customHeight="1" x14ac:dyDescent="0.25">
      <c r="A108" s="15" t="s">
        <v>192</v>
      </c>
      <c r="B108" s="16" t="s">
        <v>193</v>
      </c>
      <c r="C108" s="31">
        <v>109207.9</v>
      </c>
      <c r="D108" s="32">
        <v>0</v>
      </c>
      <c r="E108" s="31">
        <v>979853.57</v>
      </c>
      <c r="F108" s="32">
        <v>49169.599999999999</v>
      </c>
      <c r="G108" s="31">
        <v>244241.95</v>
      </c>
      <c r="H108" s="32">
        <v>0</v>
      </c>
      <c r="I108" s="31">
        <v>284886.40000000002</v>
      </c>
      <c r="J108" s="32">
        <v>0</v>
      </c>
      <c r="K108" s="31">
        <v>85293.5</v>
      </c>
      <c r="L108" s="32">
        <v>0</v>
      </c>
      <c r="M108" s="31">
        <v>278787.55</v>
      </c>
      <c r="N108" s="32">
        <v>37438.85</v>
      </c>
      <c r="O108" s="31">
        <v>506283.55</v>
      </c>
      <c r="P108" s="32">
        <v>304882.25</v>
      </c>
    </row>
    <row r="109" spans="1:16" ht="14.1" customHeight="1" x14ac:dyDescent="0.25">
      <c r="A109" s="15">
        <v>2223</v>
      </c>
      <c r="B109" s="16" t="s">
        <v>194</v>
      </c>
      <c r="C109" s="31">
        <v>100360.35</v>
      </c>
      <c r="D109" s="32">
        <v>0</v>
      </c>
      <c r="E109" s="31">
        <v>858906.2</v>
      </c>
      <c r="F109" s="32">
        <v>5280</v>
      </c>
      <c r="G109" s="31">
        <v>214902.25</v>
      </c>
      <c r="H109" s="32">
        <v>0</v>
      </c>
      <c r="I109" s="31">
        <v>258168.3</v>
      </c>
      <c r="J109" s="32">
        <v>0</v>
      </c>
      <c r="K109" s="31">
        <v>74357.8</v>
      </c>
      <c r="L109" s="32">
        <v>0</v>
      </c>
      <c r="M109" s="31">
        <v>253731.9</v>
      </c>
      <c r="N109" s="32">
        <v>21497.75</v>
      </c>
      <c r="O109" s="31">
        <v>168972.95</v>
      </c>
      <c r="P109" s="32">
        <v>9932.7999999999993</v>
      </c>
    </row>
    <row r="110" spans="1:16" ht="14.1" customHeight="1" x14ac:dyDescent="0.25">
      <c r="A110" s="15" t="s">
        <v>195</v>
      </c>
      <c r="B110" s="16" t="s">
        <v>196</v>
      </c>
      <c r="C110" s="31">
        <v>10902.9</v>
      </c>
      <c r="D110" s="32">
        <v>0</v>
      </c>
      <c r="E110" s="31">
        <v>108744.55</v>
      </c>
      <c r="F110" s="32">
        <v>390</v>
      </c>
      <c r="G110" s="31">
        <v>18677.3</v>
      </c>
      <c r="H110" s="32">
        <v>0</v>
      </c>
      <c r="I110" s="31">
        <v>28089.45</v>
      </c>
      <c r="J110" s="32">
        <v>0</v>
      </c>
      <c r="K110" s="31">
        <v>8330.2000000000007</v>
      </c>
      <c r="L110" s="32">
        <v>0</v>
      </c>
      <c r="M110" s="31">
        <v>15796.95</v>
      </c>
      <c r="N110" s="32">
        <v>0</v>
      </c>
      <c r="O110" s="31">
        <v>14243.2</v>
      </c>
      <c r="P110" s="32">
        <v>0</v>
      </c>
    </row>
    <row r="111" spans="1:16" ht="14.1" customHeight="1" x14ac:dyDescent="0.25">
      <c r="A111" s="15" t="s">
        <v>197</v>
      </c>
      <c r="B111" s="16" t="s">
        <v>198</v>
      </c>
      <c r="C111" s="31">
        <v>128600.75</v>
      </c>
      <c r="D111" s="32">
        <v>0</v>
      </c>
      <c r="E111" s="31">
        <v>1048259.25</v>
      </c>
      <c r="F111" s="32">
        <v>3148</v>
      </c>
      <c r="G111" s="31">
        <v>301701.5</v>
      </c>
      <c r="H111" s="32">
        <v>30314</v>
      </c>
      <c r="I111" s="31">
        <v>316343.7</v>
      </c>
      <c r="J111" s="32">
        <v>0</v>
      </c>
      <c r="K111" s="31">
        <v>87622</v>
      </c>
      <c r="L111" s="32">
        <v>0</v>
      </c>
      <c r="M111" s="31">
        <v>258484.2</v>
      </c>
      <c r="N111" s="32">
        <v>1894.9</v>
      </c>
      <c r="O111" s="31">
        <v>333424.59999999998</v>
      </c>
      <c r="P111" s="32">
        <v>69461.850000000006</v>
      </c>
    </row>
    <row r="112" spans="1:16" ht="14.1" customHeight="1" x14ac:dyDescent="0.25">
      <c r="A112" s="15" t="s">
        <v>199</v>
      </c>
      <c r="B112" s="16" t="s">
        <v>200</v>
      </c>
      <c r="C112" s="31">
        <v>1065787.6000000001</v>
      </c>
      <c r="D112" s="32">
        <v>0</v>
      </c>
      <c r="E112" s="31">
        <v>10251372.85</v>
      </c>
      <c r="F112" s="32">
        <v>59407.7</v>
      </c>
      <c r="G112" s="31">
        <v>1716266.15</v>
      </c>
      <c r="H112" s="32">
        <v>0</v>
      </c>
      <c r="I112" s="31">
        <v>1830094.25</v>
      </c>
      <c r="J112" s="32">
        <v>0</v>
      </c>
      <c r="K112" s="31">
        <f>1087825.35+911788.8</f>
        <v>1999614.1500000001</v>
      </c>
      <c r="L112" s="32">
        <v>530431.88</v>
      </c>
      <c r="M112" s="31">
        <v>4325090.1500000004</v>
      </c>
      <c r="N112" s="32">
        <v>981784.7</v>
      </c>
      <c r="O112" s="31">
        <v>2865435.5</v>
      </c>
      <c r="P112" s="32">
        <v>223861.3</v>
      </c>
    </row>
    <row r="113" spans="1:16" s="37" customFormat="1" ht="14.1" customHeight="1" x14ac:dyDescent="0.25">
      <c r="A113" s="15" t="s">
        <v>201</v>
      </c>
      <c r="B113" s="16" t="s">
        <v>202</v>
      </c>
      <c r="C113" s="31">
        <v>7775.05</v>
      </c>
      <c r="D113" s="32">
        <v>0</v>
      </c>
      <c r="E113" s="31">
        <f>14.1+15692.65+36138.2+21013.9+21012</f>
        <v>93870.85</v>
      </c>
      <c r="F113" s="32">
        <v>15692.65</v>
      </c>
      <c r="G113" s="31">
        <f>11299.7+665.4+431.85</f>
        <v>12396.95</v>
      </c>
      <c r="H113" s="32">
        <v>0</v>
      </c>
      <c r="I113" s="31">
        <f>12457.95+307+6007.7</f>
        <v>18772.650000000001</v>
      </c>
      <c r="J113" s="32">
        <v>0</v>
      </c>
      <c r="K113" s="31">
        <f>20.2+2887+1980</f>
        <v>4887.2</v>
      </c>
      <c r="L113" s="32">
        <v>0</v>
      </c>
      <c r="M113" s="31">
        <f>450.95+57.65+1230+386.5+5173.45+4896.85</f>
        <v>12195.4</v>
      </c>
      <c r="N113" s="32">
        <v>1170.9000000000001</v>
      </c>
      <c r="O113" s="31">
        <f>3189.35+1397.5</f>
        <v>4586.8500000000004</v>
      </c>
      <c r="P113" s="32">
        <v>0</v>
      </c>
    </row>
    <row r="114" spans="1:16" ht="14.1" customHeight="1" x14ac:dyDescent="0.25">
      <c r="A114" s="15" t="s">
        <v>203</v>
      </c>
      <c r="B114" s="16" t="s">
        <v>204</v>
      </c>
      <c r="C114" s="31">
        <v>77628.600000000006</v>
      </c>
      <c r="D114" s="32">
        <v>0</v>
      </c>
      <c r="E114" s="31">
        <v>676214.55</v>
      </c>
      <c r="F114" s="32">
        <v>0</v>
      </c>
      <c r="G114" s="31">
        <v>133936.75</v>
      </c>
      <c r="H114" s="32">
        <v>0</v>
      </c>
      <c r="I114" s="31">
        <v>190883.7</v>
      </c>
      <c r="J114" s="32">
        <v>0</v>
      </c>
      <c r="K114" s="31">
        <v>67197.3</v>
      </c>
      <c r="L114" s="32">
        <v>0</v>
      </c>
      <c r="M114" s="31">
        <v>158951.15</v>
      </c>
      <c r="N114" s="32">
        <v>0</v>
      </c>
      <c r="O114" s="31">
        <v>411732.59</v>
      </c>
      <c r="P114" s="32">
        <v>0</v>
      </c>
    </row>
    <row r="115" spans="1:16" ht="14.1" customHeight="1" x14ac:dyDescent="0.25">
      <c r="A115" s="15">
        <v>2233</v>
      </c>
      <c r="B115" s="16" t="s">
        <v>205</v>
      </c>
      <c r="C115" s="31">
        <v>216253.25</v>
      </c>
      <c r="D115" s="32">
        <v>8405.4500000000007</v>
      </c>
      <c r="E115" s="31">
        <v>1764173.2</v>
      </c>
      <c r="F115" s="32">
        <v>78932.75</v>
      </c>
      <c r="G115" s="31">
        <v>428666.45</v>
      </c>
      <c r="H115" s="32">
        <v>18105.400000000001</v>
      </c>
      <c r="I115" s="31">
        <v>497542.65</v>
      </c>
      <c r="J115" s="32">
        <v>17428.599999999999</v>
      </c>
      <c r="K115" s="31">
        <v>148284.9</v>
      </c>
      <c r="L115" s="32">
        <v>5181.8999999999996</v>
      </c>
      <c r="M115" s="31">
        <v>480161.8</v>
      </c>
      <c r="N115" s="32">
        <v>104869.95</v>
      </c>
      <c r="O115" s="31">
        <v>432447.2</v>
      </c>
      <c r="P115" s="32">
        <v>7549.7</v>
      </c>
    </row>
    <row r="116" spans="1:16" ht="14.1" customHeight="1" x14ac:dyDescent="0.25">
      <c r="A116" s="15">
        <v>2234</v>
      </c>
      <c r="B116" s="16" t="s">
        <v>206</v>
      </c>
      <c r="C116" s="31">
        <v>156036.79999999999</v>
      </c>
      <c r="D116" s="32">
        <v>0</v>
      </c>
      <c r="E116" s="31">
        <v>2005264.7</v>
      </c>
      <c r="F116" s="32">
        <v>642897</v>
      </c>
      <c r="G116" s="31">
        <v>310333.5</v>
      </c>
      <c r="H116" s="32">
        <v>0</v>
      </c>
      <c r="I116" s="31">
        <v>391597.05</v>
      </c>
      <c r="J116" s="32">
        <v>0</v>
      </c>
      <c r="K116" s="31">
        <v>114884</v>
      </c>
      <c r="L116" s="32">
        <v>0</v>
      </c>
      <c r="M116" s="31">
        <v>310621.40000000002</v>
      </c>
      <c r="N116" s="32">
        <v>11747.65</v>
      </c>
      <c r="O116" s="31">
        <v>524659.65</v>
      </c>
      <c r="P116" s="32">
        <v>137207.15</v>
      </c>
    </row>
    <row r="117" spans="1:16" ht="14.1" customHeight="1" x14ac:dyDescent="0.25">
      <c r="A117" s="33">
        <v>2235</v>
      </c>
      <c r="B117" s="34" t="s">
        <v>176</v>
      </c>
      <c r="C117" s="35">
        <v>97617.600000000006</v>
      </c>
      <c r="D117" s="36">
        <v>2400</v>
      </c>
      <c r="E117" s="35">
        <v>845335.25</v>
      </c>
      <c r="F117" s="36">
        <v>41434.800000000003</v>
      </c>
      <c r="G117" s="35">
        <v>214896.15</v>
      </c>
      <c r="H117" s="36">
        <v>16321</v>
      </c>
      <c r="I117" s="35">
        <v>228377.35</v>
      </c>
      <c r="J117" s="36">
        <v>0</v>
      </c>
      <c r="K117" s="35">
        <v>69904.3</v>
      </c>
      <c r="L117" s="36">
        <v>0</v>
      </c>
      <c r="M117" s="35">
        <v>154904.35</v>
      </c>
      <c r="N117" s="36">
        <v>19037.849999999999</v>
      </c>
      <c r="O117" s="35">
        <v>136160.75</v>
      </c>
      <c r="P117" s="36">
        <v>11868</v>
      </c>
    </row>
    <row r="118" spans="1:16" ht="14.1" customHeight="1" x14ac:dyDescent="0.25">
      <c r="A118" s="15" t="s">
        <v>207</v>
      </c>
      <c r="B118" s="16" t="s">
        <v>334</v>
      </c>
      <c r="C118" s="31">
        <v>45577.75</v>
      </c>
      <c r="D118" s="32">
        <v>0</v>
      </c>
      <c r="E118" s="31">
        <v>423323.65</v>
      </c>
      <c r="F118" s="32">
        <v>0</v>
      </c>
      <c r="G118" s="31">
        <v>97457.55</v>
      </c>
      <c r="H118" s="32">
        <v>0</v>
      </c>
      <c r="I118" s="31">
        <v>87767.55</v>
      </c>
      <c r="J118" s="32">
        <v>0</v>
      </c>
      <c r="K118" s="31">
        <v>45464.85</v>
      </c>
      <c r="L118" s="32">
        <v>0</v>
      </c>
      <c r="M118" s="31">
        <v>54275.8</v>
      </c>
      <c r="N118" s="32">
        <v>11289.93</v>
      </c>
      <c r="O118" s="31">
        <v>209576.15</v>
      </c>
      <c r="P118" s="32">
        <v>3471.2</v>
      </c>
    </row>
    <row r="119" spans="1:16" ht="14.1" customHeight="1" x14ac:dyDescent="0.25">
      <c r="A119" s="15" t="s">
        <v>208</v>
      </c>
      <c r="B119" s="16" t="s">
        <v>209</v>
      </c>
      <c r="C119" s="31">
        <v>15818.2</v>
      </c>
      <c r="D119" s="32">
        <v>0</v>
      </c>
      <c r="E119" s="31">
        <v>162645.79999999999</v>
      </c>
      <c r="F119" s="32">
        <v>0</v>
      </c>
      <c r="G119" s="31">
        <v>27273.05</v>
      </c>
      <c r="H119" s="32">
        <v>0</v>
      </c>
      <c r="I119" s="31">
        <v>27042.9</v>
      </c>
      <c r="J119" s="32">
        <v>0</v>
      </c>
      <c r="K119" s="31">
        <v>9194.5</v>
      </c>
      <c r="L119" s="32">
        <v>0</v>
      </c>
      <c r="M119" s="31">
        <v>17662.650000000001</v>
      </c>
      <c r="N119" s="32">
        <v>2431.3200000000002</v>
      </c>
      <c r="O119" s="31">
        <v>13139.15</v>
      </c>
      <c r="P119" s="32">
        <v>0</v>
      </c>
    </row>
    <row r="120" spans="1:16" ht="14.1" customHeight="1" x14ac:dyDescent="0.25">
      <c r="A120" s="15" t="s">
        <v>210</v>
      </c>
      <c r="B120" s="16" t="s">
        <v>211</v>
      </c>
      <c r="C120" s="31">
        <v>115016.85</v>
      </c>
      <c r="D120" s="32">
        <v>0</v>
      </c>
      <c r="E120" s="31">
        <v>1611435.15</v>
      </c>
      <c r="F120" s="32">
        <v>0</v>
      </c>
      <c r="G120" s="31">
        <v>204392.6</v>
      </c>
      <c r="H120" s="32">
        <v>0</v>
      </c>
      <c r="I120" s="31">
        <f>18063+209735.6</f>
        <v>227798.6</v>
      </c>
      <c r="J120" s="32">
        <v>0</v>
      </c>
      <c r="K120" s="31">
        <v>106252.7</v>
      </c>
      <c r="L120" s="32">
        <v>445.2</v>
      </c>
      <c r="M120" s="31">
        <v>128085.7</v>
      </c>
      <c r="N120" s="32">
        <v>18230.04</v>
      </c>
      <c r="O120" s="31">
        <v>226887.09</v>
      </c>
      <c r="P120" s="32">
        <v>400</v>
      </c>
    </row>
    <row r="121" spans="1:16" ht="14.1" customHeight="1" x14ac:dyDescent="0.25">
      <c r="A121" s="15" t="s">
        <v>212</v>
      </c>
      <c r="B121" s="16" t="s">
        <v>213</v>
      </c>
      <c r="C121" s="31">
        <v>21614.75</v>
      </c>
      <c r="D121" s="32">
        <v>0</v>
      </c>
      <c r="E121" s="31">
        <v>288894.55</v>
      </c>
      <c r="F121" s="32">
        <v>0</v>
      </c>
      <c r="G121" s="31">
        <v>44504.45</v>
      </c>
      <c r="H121" s="32">
        <v>0</v>
      </c>
      <c r="I121" s="31">
        <v>46337.55</v>
      </c>
      <c r="J121" s="32">
        <v>0</v>
      </c>
      <c r="K121" s="31">
        <v>26126.3</v>
      </c>
      <c r="L121" s="32">
        <v>0</v>
      </c>
      <c r="M121" s="31">
        <v>51515.4</v>
      </c>
      <c r="N121" s="32">
        <v>14041.65</v>
      </c>
      <c r="O121" s="31">
        <v>32854.050000000003</v>
      </c>
      <c r="P121" s="32">
        <v>0</v>
      </c>
    </row>
    <row r="122" spans="1:16" ht="14.1" customHeight="1" x14ac:dyDescent="0.25">
      <c r="A122" s="15" t="s">
        <v>214</v>
      </c>
      <c r="B122" s="16" t="s">
        <v>215</v>
      </c>
      <c r="C122" s="31">
        <v>320019.7</v>
      </c>
      <c r="D122" s="32">
        <v>15928.25</v>
      </c>
      <c r="E122" s="31">
        <v>2439252.7400000002</v>
      </c>
      <c r="F122" s="32">
        <v>104601.07</v>
      </c>
      <c r="G122" s="31">
        <v>609643.15</v>
      </c>
      <c r="H122" s="32">
        <v>0</v>
      </c>
      <c r="I122" s="31">
        <v>587297.30000000005</v>
      </c>
      <c r="J122" s="32">
        <v>0</v>
      </c>
      <c r="K122" s="31">
        <v>250653.5</v>
      </c>
      <c r="L122" s="32">
        <v>0</v>
      </c>
      <c r="M122" s="31">
        <v>421291.11</v>
      </c>
      <c r="N122" s="32">
        <v>67201.539999999994</v>
      </c>
      <c r="O122" s="31">
        <v>649154.69999999995</v>
      </c>
      <c r="P122" s="32">
        <v>46116.6</v>
      </c>
    </row>
    <row r="123" spans="1:16" ht="14.1" customHeight="1" x14ac:dyDescent="0.25">
      <c r="A123" s="15" t="s">
        <v>216</v>
      </c>
      <c r="B123" s="16" t="s">
        <v>217</v>
      </c>
      <c r="C123" s="31">
        <v>76675.600000000006</v>
      </c>
      <c r="D123" s="32">
        <v>0</v>
      </c>
      <c r="E123" s="31">
        <v>763025.55</v>
      </c>
      <c r="F123" s="32">
        <v>11915.2</v>
      </c>
      <c r="G123" s="31">
        <v>157142.5</v>
      </c>
      <c r="H123" s="32">
        <v>0</v>
      </c>
      <c r="I123" s="31">
        <v>130199.05</v>
      </c>
      <c r="J123" s="32">
        <v>0</v>
      </c>
      <c r="K123" s="31">
        <v>83012.45</v>
      </c>
      <c r="L123" s="32">
        <v>0</v>
      </c>
      <c r="M123" s="31">
        <v>86909.9</v>
      </c>
      <c r="N123" s="32">
        <v>15910.68</v>
      </c>
      <c r="O123" s="31">
        <v>227637.7</v>
      </c>
      <c r="P123" s="32">
        <v>49490</v>
      </c>
    </row>
    <row r="124" spans="1:16" ht="14.1" customHeight="1" x14ac:dyDescent="0.25">
      <c r="A124" s="15" t="s">
        <v>218</v>
      </c>
      <c r="B124" s="16" t="s">
        <v>219</v>
      </c>
      <c r="C124" s="31">
        <v>57067.6</v>
      </c>
      <c r="D124" s="32">
        <v>0</v>
      </c>
      <c r="E124" s="31">
        <v>432405.2</v>
      </c>
      <c r="F124" s="32">
        <v>0</v>
      </c>
      <c r="G124" s="31">
        <v>71936.649999999994</v>
      </c>
      <c r="H124" s="32">
        <v>0</v>
      </c>
      <c r="I124" s="31">
        <f>2200.2+74899.75</f>
        <v>77099.95</v>
      </c>
      <c r="J124" s="32">
        <v>0</v>
      </c>
      <c r="K124" s="31">
        <v>26330.75</v>
      </c>
      <c r="L124" s="32">
        <v>0</v>
      </c>
      <c r="M124" s="31">
        <v>57855.28</v>
      </c>
      <c r="N124" s="32">
        <v>695.1</v>
      </c>
      <c r="O124" s="31">
        <v>180171.85</v>
      </c>
      <c r="P124" s="32">
        <v>17453.7</v>
      </c>
    </row>
    <row r="125" spans="1:16" ht="14.1" customHeight="1" x14ac:dyDescent="0.25">
      <c r="A125" s="15" t="s">
        <v>220</v>
      </c>
      <c r="B125" s="16" t="s">
        <v>221</v>
      </c>
      <c r="C125" s="31">
        <v>57874.3</v>
      </c>
      <c r="D125" s="32">
        <v>650</v>
      </c>
      <c r="E125" s="31">
        <v>494173.45</v>
      </c>
      <c r="F125" s="32">
        <v>0</v>
      </c>
      <c r="G125" s="31">
        <v>90867.3</v>
      </c>
      <c r="H125" s="32">
        <v>0</v>
      </c>
      <c r="I125" s="31">
        <v>92827.05</v>
      </c>
      <c r="J125" s="32">
        <v>0</v>
      </c>
      <c r="K125" s="31">
        <v>48825.95</v>
      </c>
      <c r="L125" s="32">
        <v>0</v>
      </c>
      <c r="M125" s="31">
        <v>65254.65</v>
      </c>
      <c r="N125" s="32">
        <v>10614.13</v>
      </c>
      <c r="O125" s="31">
        <v>113061.86</v>
      </c>
      <c r="P125" s="32">
        <v>126.6</v>
      </c>
    </row>
    <row r="126" spans="1:16" ht="14.1" customHeight="1" x14ac:dyDescent="0.25">
      <c r="A126" s="15" t="s">
        <v>222</v>
      </c>
      <c r="B126" s="16" t="s">
        <v>223</v>
      </c>
      <c r="C126" s="31">
        <v>25452.35</v>
      </c>
      <c r="D126" s="32">
        <v>0</v>
      </c>
      <c r="E126" s="31">
        <v>236760.4</v>
      </c>
      <c r="F126" s="32">
        <v>63825</v>
      </c>
      <c r="G126" s="31">
        <v>46587.1</v>
      </c>
      <c r="H126" s="32">
        <v>0</v>
      </c>
      <c r="I126" s="31">
        <v>39858.65</v>
      </c>
      <c r="J126" s="32">
        <v>0</v>
      </c>
      <c r="K126" s="31">
        <v>23318.55</v>
      </c>
      <c r="L126" s="32">
        <v>0</v>
      </c>
      <c r="M126" s="31">
        <v>30602.05</v>
      </c>
      <c r="N126" s="32">
        <v>5239.7</v>
      </c>
      <c r="O126" s="31">
        <v>17536</v>
      </c>
      <c r="P126" s="32">
        <v>0</v>
      </c>
    </row>
    <row r="127" spans="1:16" ht="14.1" customHeight="1" x14ac:dyDescent="0.25">
      <c r="A127" s="15" t="s">
        <v>224</v>
      </c>
      <c r="B127" s="16" t="s">
        <v>225</v>
      </c>
      <c r="C127" s="31">
        <v>15192.7</v>
      </c>
      <c r="D127" s="32">
        <v>0</v>
      </c>
      <c r="E127" s="31">
        <v>295803.3</v>
      </c>
      <c r="F127" s="32">
        <v>85.5</v>
      </c>
      <c r="G127" s="31">
        <v>24222.1</v>
      </c>
      <c r="H127" s="32">
        <v>0</v>
      </c>
      <c r="I127" s="31">
        <v>25219.8</v>
      </c>
      <c r="J127" s="32">
        <v>0</v>
      </c>
      <c r="K127" s="31">
        <v>21437.15</v>
      </c>
      <c r="L127" s="32">
        <v>0</v>
      </c>
      <c r="M127" s="31">
        <v>36257.15</v>
      </c>
      <c r="N127" s="32">
        <v>5724.4</v>
      </c>
      <c r="O127" s="31">
        <v>40087.5</v>
      </c>
      <c r="P127" s="32">
        <v>0</v>
      </c>
    </row>
    <row r="128" spans="1:16" ht="14.1" customHeight="1" x14ac:dyDescent="0.25">
      <c r="A128" s="15" t="s">
        <v>226</v>
      </c>
      <c r="B128" s="16" t="s">
        <v>335</v>
      </c>
      <c r="C128" s="31">
        <v>344692.85</v>
      </c>
      <c r="D128" s="32">
        <v>0</v>
      </c>
      <c r="E128" s="31">
        <f>1762290.55+1100453.78+128034.77+166241.16+96172.94</f>
        <v>3253193.2</v>
      </c>
      <c r="F128" s="32">
        <f>140646.55+175644.4+21152.95+31847.55+16555.05</f>
        <v>385846.49999999994</v>
      </c>
      <c r="G128" s="31">
        <v>789378.8</v>
      </c>
      <c r="H128" s="32">
        <v>95748.35</v>
      </c>
      <c r="I128" s="31">
        <v>584005.30000000005</v>
      </c>
      <c r="J128" s="32">
        <v>0</v>
      </c>
      <c r="K128" s="31">
        <v>363752.1</v>
      </c>
      <c r="L128" s="32">
        <v>12986</v>
      </c>
      <c r="M128" s="31">
        <v>348624.2</v>
      </c>
      <c r="N128" s="32">
        <v>68263.5</v>
      </c>
      <c r="O128" s="31">
        <v>314044.01</v>
      </c>
      <c r="P128" s="32">
        <v>30688.75</v>
      </c>
    </row>
    <row r="129" spans="1:16" ht="14.1" customHeight="1" x14ac:dyDescent="0.25">
      <c r="A129" s="15" t="s">
        <v>227</v>
      </c>
      <c r="B129" s="16" t="s">
        <v>228</v>
      </c>
      <c r="C129" s="31">
        <v>54870.2</v>
      </c>
      <c r="D129" s="32">
        <v>0</v>
      </c>
      <c r="E129" s="31">
        <v>354936.8</v>
      </c>
      <c r="F129" s="32">
        <v>0</v>
      </c>
      <c r="G129" s="31">
        <v>64360.55</v>
      </c>
      <c r="H129" s="32">
        <v>0</v>
      </c>
      <c r="I129" s="31">
        <v>65176.45</v>
      </c>
      <c r="J129" s="32">
        <v>0</v>
      </c>
      <c r="K129" s="31">
        <v>28415.85</v>
      </c>
      <c r="L129" s="32">
        <v>0</v>
      </c>
      <c r="M129" s="31">
        <v>46510.95</v>
      </c>
      <c r="N129" s="32">
        <v>0</v>
      </c>
      <c r="O129" s="31">
        <v>40707.199999999997</v>
      </c>
      <c r="P129" s="32">
        <v>0</v>
      </c>
    </row>
    <row r="130" spans="1:16" ht="14.1" customHeight="1" x14ac:dyDescent="0.25">
      <c r="A130" s="15" t="s">
        <v>229</v>
      </c>
      <c r="B130" s="16" t="s">
        <v>230</v>
      </c>
      <c r="C130" s="31">
        <v>450249.35</v>
      </c>
      <c r="D130" s="32">
        <v>0</v>
      </c>
      <c r="E130" s="31">
        <f>2243141.63+1342064.37</f>
        <v>3585206</v>
      </c>
      <c r="F130" s="32">
        <f>124505.55+722709.8</f>
        <v>847215.35000000009</v>
      </c>
      <c r="G130" s="31">
        <v>964773.45</v>
      </c>
      <c r="H130" s="32">
        <v>99637.5</v>
      </c>
      <c r="I130" s="31">
        <f>707065.75+20100.85</f>
        <v>727166.6</v>
      </c>
      <c r="J130" s="32">
        <v>0</v>
      </c>
      <c r="K130" s="31">
        <v>351035.3</v>
      </c>
      <c r="L130" s="32">
        <v>0</v>
      </c>
      <c r="M130" s="31">
        <v>1081539.8799999999</v>
      </c>
      <c r="N130" s="32">
        <v>514885</v>
      </c>
      <c r="O130" s="31">
        <v>974583.44</v>
      </c>
      <c r="P130" s="32">
        <v>267475.32</v>
      </c>
    </row>
    <row r="131" spans="1:16" ht="14.1" customHeight="1" x14ac:dyDescent="0.25">
      <c r="A131" s="15" t="s">
        <v>231</v>
      </c>
      <c r="B131" s="16" t="s">
        <v>232</v>
      </c>
      <c r="C131" s="31">
        <v>52012.3</v>
      </c>
      <c r="D131" s="32">
        <v>0</v>
      </c>
      <c r="E131" s="31">
        <v>704601.85</v>
      </c>
      <c r="F131" s="32">
        <v>40</v>
      </c>
      <c r="G131" s="31">
        <v>114498.45</v>
      </c>
      <c r="H131" s="32">
        <v>9151.4500000000007</v>
      </c>
      <c r="I131" s="31">
        <v>91200</v>
      </c>
      <c r="J131" s="32">
        <v>0</v>
      </c>
      <c r="K131" s="31">
        <v>49599</v>
      </c>
      <c r="L131" s="32">
        <v>8607</v>
      </c>
      <c r="M131" s="31">
        <v>63103.66</v>
      </c>
      <c r="N131" s="32">
        <v>28913.65</v>
      </c>
      <c r="O131" s="31">
        <v>51837.75</v>
      </c>
      <c r="P131" s="32">
        <v>12048.35</v>
      </c>
    </row>
    <row r="132" spans="1:16" ht="14.1" customHeight="1" x14ac:dyDescent="0.25">
      <c r="A132" s="15" t="s">
        <v>233</v>
      </c>
      <c r="B132" s="16" t="s">
        <v>234</v>
      </c>
      <c r="C132" s="31">
        <v>25410.2</v>
      </c>
      <c r="D132" s="32">
        <v>1941.45</v>
      </c>
      <c r="E132" s="31">
        <v>154756.1</v>
      </c>
      <c r="F132" s="32">
        <v>11177.65</v>
      </c>
      <c r="G132" s="31">
        <v>26994.45</v>
      </c>
      <c r="H132" s="32">
        <v>0</v>
      </c>
      <c r="I132" s="31">
        <v>28106.400000000001</v>
      </c>
      <c r="J132" s="32">
        <v>0</v>
      </c>
      <c r="K132" s="31">
        <v>13237.25</v>
      </c>
      <c r="L132" s="32">
        <v>2823.7</v>
      </c>
      <c r="M132" s="31">
        <v>19396.04</v>
      </c>
      <c r="N132" s="32">
        <v>3032.15</v>
      </c>
      <c r="O132" s="31">
        <v>11023.5</v>
      </c>
      <c r="P132" s="32">
        <v>1492.3</v>
      </c>
    </row>
    <row r="133" spans="1:16" ht="14.1" customHeight="1" x14ac:dyDescent="0.25">
      <c r="A133" s="15" t="s">
        <v>235</v>
      </c>
      <c r="B133" s="16" t="s">
        <v>236</v>
      </c>
      <c r="C133" s="31">
        <v>53620.85</v>
      </c>
      <c r="D133" s="32">
        <v>0</v>
      </c>
      <c r="E133" s="31">
        <v>755218.25</v>
      </c>
      <c r="F133" s="32">
        <v>597.25</v>
      </c>
      <c r="G133" s="31">
        <v>88378.95</v>
      </c>
      <c r="H133" s="32">
        <v>0</v>
      </c>
      <c r="I133" s="31">
        <v>104089.35</v>
      </c>
      <c r="J133" s="32">
        <v>0</v>
      </c>
      <c r="K133" s="31">
        <v>59881.1</v>
      </c>
      <c r="L133" s="32">
        <v>0</v>
      </c>
      <c r="M133" s="31">
        <v>104389.75</v>
      </c>
      <c r="N133" s="32">
        <v>17944.900000000001</v>
      </c>
      <c r="O133" s="31">
        <v>128377.65</v>
      </c>
      <c r="P133" s="32">
        <v>5000</v>
      </c>
    </row>
    <row r="134" spans="1:16" ht="14.1" customHeight="1" x14ac:dyDescent="0.25">
      <c r="A134" s="15" t="s">
        <v>237</v>
      </c>
      <c r="B134" s="16" t="s">
        <v>238</v>
      </c>
      <c r="C134" s="31">
        <v>133516.04999999999</v>
      </c>
      <c r="D134" s="32">
        <v>0</v>
      </c>
      <c r="E134" s="31">
        <v>1486758</v>
      </c>
      <c r="F134" s="32">
        <v>361208.7</v>
      </c>
      <c r="G134" s="31">
        <v>273660.05</v>
      </c>
      <c r="H134" s="32">
        <v>0</v>
      </c>
      <c r="I134" s="31">
        <f>5897.85+236853.35</f>
        <v>242751.2</v>
      </c>
      <c r="J134" s="32">
        <v>0</v>
      </c>
      <c r="K134" s="31">
        <v>107479.75</v>
      </c>
      <c r="L134" s="32">
        <v>0</v>
      </c>
      <c r="M134" s="31">
        <v>159702.04999999999</v>
      </c>
      <c r="N134" s="32">
        <v>20426.23</v>
      </c>
      <c r="O134" s="31">
        <v>259958.05</v>
      </c>
      <c r="P134" s="32">
        <v>3877.65</v>
      </c>
    </row>
    <row r="135" spans="1:16" ht="14.1" customHeight="1" x14ac:dyDescent="0.25">
      <c r="A135" s="15" t="s">
        <v>239</v>
      </c>
      <c r="B135" s="16" t="s">
        <v>240</v>
      </c>
      <c r="C135" s="31">
        <v>98428.65</v>
      </c>
      <c r="D135" s="32">
        <v>0</v>
      </c>
      <c r="E135" s="31">
        <v>1136664.1499999999</v>
      </c>
      <c r="F135" s="32">
        <v>255.3</v>
      </c>
      <c r="G135" s="31">
        <v>138446</v>
      </c>
      <c r="H135" s="32">
        <v>0</v>
      </c>
      <c r="I135" s="31">
        <v>247488.8</v>
      </c>
      <c r="J135" s="32">
        <v>2372.0500000000002</v>
      </c>
      <c r="K135" s="31">
        <v>0</v>
      </c>
      <c r="L135" s="32">
        <v>0</v>
      </c>
      <c r="M135" s="31">
        <v>106440.95</v>
      </c>
      <c r="N135" s="32">
        <v>14329.18</v>
      </c>
      <c r="O135" s="31">
        <v>209888.7</v>
      </c>
      <c r="P135" s="32">
        <v>25334.2</v>
      </c>
    </row>
    <row r="136" spans="1:16" ht="14.1" customHeight="1" x14ac:dyDescent="0.25">
      <c r="A136" s="15" t="s">
        <v>241</v>
      </c>
      <c r="B136" s="16" t="s">
        <v>242</v>
      </c>
      <c r="C136" s="31">
        <v>740138.15</v>
      </c>
      <c r="D136" s="32">
        <v>0</v>
      </c>
      <c r="E136" s="31">
        <v>5653677.9800000004</v>
      </c>
      <c r="F136" s="32">
        <v>1491037.05</v>
      </c>
      <c r="G136" s="31">
        <v>1428815.2</v>
      </c>
      <c r="H136" s="32">
        <v>216166.35</v>
      </c>
      <c r="I136" s="31">
        <v>942399.85</v>
      </c>
      <c r="J136" s="32">
        <v>0</v>
      </c>
      <c r="K136" s="31">
        <v>559529.65</v>
      </c>
      <c r="L136" s="32">
        <v>0</v>
      </c>
      <c r="M136" s="31">
        <v>1615349</v>
      </c>
      <c r="N136" s="32">
        <v>902046.05</v>
      </c>
      <c r="O136" s="31">
        <v>1066506.1000000001</v>
      </c>
      <c r="P136" s="32">
        <v>30020.75</v>
      </c>
    </row>
    <row r="137" spans="1:16" ht="14.1" customHeight="1" x14ac:dyDescent="0.25">
      <c r="A137" s="15" t="s">
        <v>243</v>
      </c>
      <c r="B137" s="16" t="s">
        <v>309</v>
      </c>
      <c r="C137" s="31">
        <v>89993.65</v>
      </c>
      <c r="D137" s="32">
        <v>0</v>
      </c>
      <c r="E137" s="31">
        <v>898698</v>
      </c>
      <c r="F137" s="32">
        <v>23673</v>
      </c>
      <c r="G137" s="31">
        <v>165587.6</v>
      </c>
      <c r="H137" s="32">
        <v>0</v>
      </c>
      <c r="I137" s="31">
        <v>155268.85</v>
      </c>
      <c r="J137" s="32">
        <v>0</v>
      </c>
      <c r="K137" s="31">
        <v>85965.7</v>
      </c>
      <c r="L137" s="32">
        <v>0</v>
      </c>
      <c r="M137" s="31">
        <v>89424.22</v>
      </c>
      <c r="N137" s="32">
        <v>8026.65</v>
      </c>
      <c r="O137" s="31">
        <v>191167.5</v>
      </c>
      <c r="P137" s="32">
        <v>948.75</v>
      </c>
    </row>
    <row r="138" spans="1:16" ht="14.1" customHeight="1" x14ac:dyDescent="0.25">
      <c r="A138" s="15" t="s">
        <v>244</v>
      </c>
      <c r="B138" s="16" t="s">
        <v>245</v>
      </c>
      <c r="C138" s="31">
        <v>87136.2</v>
      </c>
      <c r="D138" s="32">
        <v>24885</v>
      </c>
      <c r="E138" s="31">
        <v>434932.7</v>
      </c>
      <c r="F138" s="32">
        <v>76524.899999999994</v>
      </c>
      <c r="G138" s="31">
        <v>73052.75</v>
      </c>
      <c r="H138" s="32">
        <v>0</v>
      </c>
      <c r="I138" s="31">
        <v>73836.25</v>
      </c>
      <c r="J138" s="32">
        <v>0</v>
      </c>
      <c r="K138" s="31">
        <v>48919.8</v>
      </c>
      <c r="L138" s="32">
        <v>7368.8</v>
      </c>
      <c r="M138" s="31">
        <v>51017.4</v>
      </c>
      <c r="N138" s="32">
        <v>9939.94</v>
      </c>
      <c r="O138" s="31">
        <v>65529.1</v>
      </c>
      <c r="P138" s="32">
        <v>4580</v>
      </c>
    </row>
    <row r="139" spans="1:16" ht="14.1" customHeight="1" x14ac:dyDescent="0.25">
      <c r="A139" s="15" t="s">
        <v>246</v>
      </c>
      <c r="B139" s="16" t="s">
        <v>247</v>
      </c>
      <c r="C139" s="31">
        <v>37534.65</v>
      </c>
      <c r="D139" s="32">
        <v>0</v>
      </c>
      <c r="E139" s="31">
        <v>287323.7</v>
      </c>
      <c r="F139" s="32">
        <v>126</v>
      </c>
      <c r="G139" s="31">
        <v>68044.75</v>
      </c>
      <c r="H139" s="32">
        <v>0</v>
      </c>
      <c r="I139" s="31">
        <v>63028.7</v>
      </c>
      <c r="J139" s="32">
        <v>0</v>
      </c>
      <c r="K139" s="31">
        <v>37949</v>
      </c>
      <c r="L139" s="32">
        <v>6115.5</v>
      </c>
      <c r="M139" s="31">
        <v>46584.55</v>
      </c>
      <c r="N139" s="32">
        <v>6217.81</v>
      </c>
      <c r="O139" s="31">
        <v>61824.55</v>
      </c>
      <c r="P139" s="32">
        <v>6805</v>
      </c>
    </row>
    <row r="140" spans="1:16" ht="14.1" customHeight="1" x14ac:dyDescent="0.25">
      <c r="A140" s="15" t="s">
        <v>248</v>
      </c>
      <c r="B140" s="16" t="s">
        <v>249</v>
      </c>
      <c r="C140" s="31">
        <v>61830.1</v>
      </c>
      <c r="D140" s="32">
        <v>9713.5</v>
      </c>
      <c r="E140" s="31">
        <v>465811.85</v>
      </c>
      <c r="F140" s="32">
        <v>4367</v>
      </c>
      <c r="G140" s="31">
        <v>106556.5</v>
      </c>
      <c r="H140" s="32">
        <v>0</v>
      </c>
      <c r="I140" s="31">
        <v>102219.3</v>
      </c>
      <c r="J140" s="32">
        <v>0</v>
      </c>
      <c r="K140" s="31">
        <v>45067.7</v>
      </c>
      <c r="L140" s="32">
        <v>0</v>
      </c>
      <c r="M140" s="31">
        <v>58078.5</v>
      </c>
      <c r="N140" s="32">
        <v>12983.02</v>
      </c>
      <c r="O140" s="31">
        <v>121501.05</v>
      </c>
      <c r="P140" s="32">
        <v>903.4</v>
      </c>
    </row>
    <row r="141" spans="1:16" ht="14.1" customHeight="1" x14ac:dyDescent="0.25">
      <c r="A141" s="15" t="s">
        <v>250</v>
      </c>
      <c r="B141" s="16" t="s">
        <v>251</v>
      </c>
      <c r="C141" s="31">
        <v>175429.55</v>
      </c>
      <c r="D141" s="32">
        <v>0</v>
      </c>
      <c r="E141" s="31">
        <v>1369218</v>
      </c>
      <c r="F141" s="32">
        <v>24884.1</v>
      </c>
      <c r="G141" s="31">
        <v>325683.84999999998</v>
      </c>
      <c r="H141" s="32">
        <v>0</v>
      </c>
      <c r="I141" s="31">
        <v>311475.8</v>
      </c>
      <c r="J141" s="32">
        <v>0</v>
      </c>
      <c r="K141" s="31">
        <v>162015.04999999999</v>
      </c>
      <c r="L141" s="32">
        <v>0</v>
      </c>
      <c r="M141" s="31">
        <v>170909.23</v>
      </c>
      <c r="N141" s="32">
        <v>29735.05</v>
      </c>
      <c r="O141" s="31">
        <v>589548.34</v>
      </c>
      <c r="P141" s="32">
        <v>111437.55</v>
      </c>
    </row>
    <row r="142" spans="1:16" ht="14.1" customHeight="1" x14ac:dyDescent="0.25">
      <c r="A142" s="15" t="s">
        <v>252</v>
      </c>
      <c r="B142" s="16" t="s">
        <v>253</v>
      </c>
      <c r="C142" s="31">
        <v>122344.95</v>
      </c>
      <c r="D142" s="32">
        <v>0</v>
      </c>
      <c r="E142" s="31">
        <v>980874.5</v>
      </c>
      <c r="F142" s="32">
        <v>10421.25</v>
      </c>
      <c r="G142" s="31">
        <v>219592.3</v>
      </c>
      <c r="H142" s="32">
        <v>0</v>
      </c>
      <c r="I142" s="31">
        <v>207531.55</v>
      </c>
      <c r="J142" s="32">
        <v>0</v>
      </c>
      <c r="K142" s="31">
        <v>131638.9</v>
      </c>
      <c r="L142" s="32">
        <v>0</v>
      </c>
      <c r="M142" s="31">
        <v>154646.5</v>
      </c>
      <c r="N142" s="32">
        <v>20834.96</v>
      </c>
      <c r="O142" s="31">
        <v>708912.75</v>
      </c>
      <c r="P142" s="32">
        <v>5070.3999999999996</v>
      </c>
    </row>
    <row r="143" spans="1:16" ht="14.1" customHeight="1" x14ac:dyDescent="0.25">
      <c r="A143" s="33" t="s">
        <v>254</v>
      </c>
      <c r="B143" s="34" t="s">
        <v>255</v>
      </c>
      <c r="C143" s="35">
        <v>39143.25</v>
      </c>
      <c r="D143" s="36">
        <v>0</v>
      </c>
      <c r="E143" s="35">
        <v>465619.1</v>
      </c>
      <c r="F143" s="36">
        <v>21364.95</v>
      </c>
      <c r="G143" s="35">
        <v>82839.149999999994</v>
      </c>
      <c r="H143" s="36">
        <v>0</v>
      </c>
      <c r="I143" s="35">
        <v>91521</v>
      </c>
      <c r="J143" s="36">
        <v>0</v>
      </c>
      <c r="K143" s="35">
        <v>34228.75</v>
      </c>
      <c r="L143" s="36">
        <v>0</v>
      </c>
      <c r="M143" s="35">
        <v>12723.7</v>
      </c>
      <c r="N143" s="36">
        <v>0</v>
      </c>
      <c r="O143" s="35">
        <v>250817.4</v>
      </c>
      <c r="P143" s="36">
        <v>185251.1</v>
      </c>
    </row>
    <row r="144" spans="1:16" ht="14.1" customHeight="1" x14ac:dyDescent="0.25">
      <c r="A144" s="15" t="s">
        <v>256</v>
      </c>
      <c r="B144" s="16" t="s">
        <v>336</v>
      </c>
      <c r="C144" s="31">
        <v>182786.25</v>
      </c>
      <c r="D144" s="32">
        <v>0</v>
      </c>
      <c r="E144" s="31">
        <v>1356767.43</v>
      </c>
      <c r="F144" s="32">
        <v>18900</v>
      </c>
      <c r="G144" s="31">
        <v>360759</v>
      </c>
      <c r="H144" s="32">
        <v>31844.95</v>
      </c>
      <c r="I144" s="31">
        <f>49836.9+290956.95</f>
        <v>340793.85000000003</v>
      </c>
      <c r="J144" s="32">
        <v>0</v>
      </c>
      <c r="K144" s="31">
        <v>179496.85</v>
      </c>
      <c r="L144" s="32">
        <v>0</v>
      </c>
      <c r="M144" s="31">
        <v>222002.18</v>
      </c>
      <c r="N144" s="32">
        <v>0</v>
      </c>
      <c r="O144" s="31">
        <v>255405.6</v>
      </c>
      <c r="P144" s="32">
        <v>7910.6</v>
      </c>
    </row>
    <row r="145" spans="1:16" ht="14.1" customHeight="1" x14ac:dyDescent="0.25">
      <c r="A145" s="15" t="s">
        <v>257</v>
      </c>
      <c r="B145" s="16" t="s">
        <v>258</v>
      </c>
      <c r="C145" s="31">
        <v>92742.45</v>
      </c>
      <c r="D145" s="32">
        <v>0</v>
      </c>
      <c r="E145" s="31">
        <v>447973.35</v>
      </c>
      <c r="F145" s="32">
        <v>17248</v>
      </c>
      <c r="G145" s="31">
        <v>112500.35</v>
      </c>
      <c r="H145" s="32">
        <v>0</v>
      </c>
      <c r="I145" s="31">
        <f>22184.45+97840.65</f>
        <v>120025.09999999999</v>
      </c>
      <c r="J145" s="32">
        <v>0</v>
      </c>
      <c r="K145" s="31">
        <v>40065.11</v>
      </c>
      <c r="L145" s="32">
        <v>0</v>
      </c>
      <c r="M145" s="31">
        <v>98664.15</v>
      </c>
      <c r="N145" s="32">
        <v>0</v>
      </c>
      <c r="O145" s="31">
        <v>60346.75</v>
      </c>
      <c r="P145" s="32">
        <v>1050</v>
      </c>
    </row>
    <row r="146" spans="1:16" ht="14.1" customHeight="1" x14ac:dyDescent="0.25">
      <c r="A146" s="15" t="s">
        <v>259</v>
      </c>
      <c r="B146" s="16" t="s">
        <v>260</v>
      </c>
      <c r="C146" s="31">
        <v>684444.05</v>
      </c>
      <c r="D146" s="32">
        <v>0</v>
      </c>
      <c r="E146" s="31">
        <f>3256848.3+2531654.8</f>
        <v>5788503.0999999996</v>
      </c>
      <c r="F146" s="32">
        <v>0</v>
      </c>
      <c r="G146" s="31">
        <v>1397719.13</v>
      </c>
      <c r="H146" s="32">
        <v>163104.79999999999</v>
      </c>
      <c r="I146" s="31">
        <v>1678310.41</v>
      </c>
      <c r="J146" s="32">
        <v>0</v>
      </c>
      <c r="K146" s="31">
        <v>888243.49</v>
      </c>
      <c r="L146" s="32">
        <v>0</v>
      </c>
      <c r="M146" s="31">
        <v>2771507.69</v>
      </c>
      <c r="N146" s="32">
        <v>1569317.05</v>
      </c>
      <c r="O146" s="31">
        <f>993232.9+87100.95</f>
        <v>1080333.8500000001</v>
      </c>
      <c r="P146" s="32">
        <f>192871.35+85420</f>
        <v>278291.34999999998</v>
      </c>
    </row>
    <row r="147" spans="1:16" ht="14.1" customHeight="1" x14ac:dyDescent="0.25">
      <c r="A147" s="15" t="s">
        <v>261</v>
      </c>
      <c r="B147" s="16" t="s">
        <v>262</v>
      </c>
      <c r="C147" s="31">
        <v>131607.65</v>
      </c>
      <c r="D147" s="32">
        <v>0</v>
      </c>
      <c r="E147" s="31">
        <f>738654.6+360679</f>
        <v>1099333.6000000001</v>
      </c>
      <c r="F147" s="32">
        <v>72536.05</v>
      </c>
      <c r="G147" s="31">
        <v>308747.34999999998</v>
      </c>
      <c r="H147" s="32">
        <v>71087.8</v>
      </c>
      <c r="I147" s="31">
        <f>31614.8+249271.2</f>
        <v>280886</v>
      </c>
      <c r="J147" s="32">
        <v>0</v>
      </c>
      <c r="K147" s="31">
        <v>125951.95</v>
      </c>
      <c r="L147" s="32">
        <v>0</v>
      </c>
      <c r="M147" s="31">
        <v>289326.05</v>
      </c>
      <c r="N147" s="32">
        <v>96417.05</v>
      </c>
      <c r="O147" s="31">
        <v>461582.7</v>
      </c>
      <c r="P147" s="32">
        <v>140852.85</v>
      </c>
    </row>
    <row r="148" spans="1:16" ht="14.1" customHeight="1" x14ac:dyDescent="0.25">
      <c r="A148" s="15" t="s">
        <v>263</v>
      </c>
      <c r="B148" s="16" t="s">
        <v>264</v>
      </c>
      <c r="C148" s="31">
        <v>296457.90000000002</v>
      </c>
      <c r="D148" s="32">
        <v>0</v>
      </c>
      <c r="E148" s="31">
        <f>1436573.45+910676.4</f>
        <v>2347249.85</v>
      </c>
      <c r="F148" s="32">
        <v>0</v>
      </c>
      <c r="G148" s="31">
        <v>652386.69999999995</v>
      </c>
      <c r="H148" s="32">
        <v>62740.2</v>
      </c>
      <c r="I148" s="31">
        <v>723103</v>
      </c>
      <c r="J148" s="32">
        <v>0</v>
      </c>
      <c r="K148" s="31">
        <v>265638.7</v>
      </c>
      <c r="L148" s="32">
        <v>0</v>
      </c>
      <c r="M148" s="31">
        <v>667478.59</v>
      </c>
      <c r="N148" s="32">
        <v>254257.55</v>
      </c>
      <c r="O148" s="31">
        <v>127571.2</v>
      </c>
      <c r="P148" s="32">
        <v>3117.75</v>
      </c>
    </row>
    <row r="149" spans="1:16" ht="14.1" customHeight="1" x14ac:dyDescent="0.25">
      <c r="A149" s="15" t="s">
        <v>265</v>
      </c>
      <c r="B149" s="16" t="s">
        <v>266</v>
      </c>
      <c r="C149" s="31">
        <v>119657.45</v>
      </c>
      <c r="D149" s="32">
        <v>0</v>
      </c>
      <c r="E149" s="31">
        <v>988137.25</v>
      </c>
      <c r="F149" s="32">
        <v>92223.7</v>
      </c>
      <c r="G149" s="31">
        <v>280184.55</v>
      </c>
      <c r="H149" s="32">
        <v>39500.199999999997</v>
      </c>
      <c r="I149" s="31">
        <f>27162.8+209824.3</f>
        <v>236987.09999999998</v>
      </c>
      <c r="J149" s="32">
        <f>7162.8+3137.69</f>
        <v>10300.49</v>
      </c>
      <c r="K149" s="31">
        <v>61159.3</v>
      </c>
      <c r="L149" s="32">
        <v>0</v>
      </c>
      <c r="M149" s="31">
        <v>170982.54</v>
      </c>
      <c r="N149" s="32">
        <v>0</v>
      </c>
      <c r="O149" s="31">
        <v>162478.85</v>
      </c>
      <c r="P149" s="32">
        <v>2597.1999999999998</v>
      </c>
    </row>
    <row r="150" spans="1:16" ht="14.1" customHeight="1" x14ac:dyDescent="0.25">
      <c r="A150" s="15" t="s">
        <v>267</v>
      </c>
      <c r="B150" s="16" t="s">
        <v>268</v>
      </c>
      <c r="C150" s="31">
        <v>101522.2</v>
      </c>
      <c r="D150" s="32">
        <v>0</v>
      </c>
      <c r="E150" s="31">
        <v>1064462.5</v>
      </c>
      <c r="F150" s="32">
        <v>0</v>
      </c>
      <c r="G150" s="31">
        <v>199886.9</v>
      </c>
      <c r="H150" s="32">
        <v>0</v>
      </c>
      <c r="I150" s="31">
        <f>41198.55+178573.31</f>
        <v>219771.86</v>
      </c>
      <c r="J150" s="32">
        <v>2763.12</v>
      </c>
      <c r="K150" s="31">
        <v>91705.21</v>
      </c>
      <c r="L150" s="32">
        <v>0</v>
      </c>
      <c r="M150" s="31">
        <v>172267.95</v>
      </c>
      <c r="N150" s="32">
        <v>0</v>
      </c>
      <c r="O150" s="31">
        <v>175082.65</v>
      </c>
      <c r="P150" s="32">
        <v>14838.95</v>
      </c>
    </row>
    <row r="151" spans="1:16" ht="14.1" customHeight="1" x14ac:dyDescent="0.25">
      <c r="A151" s="15" t="s">
        <v>269</v>
      </c>
      <c r="B151" s="16" t="s">
        <v>270</v>
      </c>
      <c r="C151" s="31">
        <v>170782.5</v>
      </c>
      <c r="D151" s="32">
        <v>0</v>
      </c>
      <c r="E151" s="31">
        <v>2401598.12</v>
      </c>
      <c r="F151" s="32">
        <v>735009.01</v>
      </c>
      <c r="G151" s="31">
        <v>509483.2</v>
      </c>
      <c r="H151" s="32">
        <v>179753.55</v>
      </c>
      <c r="I151" s="31">
        <v>355115.16</v>
      </c>
      <c r="J151" s="32">
        <v>0</v>
      </c>
      <c r="K151" s="31">
        <v>209878.83</v>
      </c>
      <c r="L151" s="32">
        <v>0</v>
      </c>
      <c r="M151" s="31">
        <v>286838.3</v>
      </c>
      <c r="N151" s="32">
        <v>24364.1</v>
      </c>
      <c r="O151" s="31">
        <v>573788.72</v>
      </c>
      <c r="P151" s="32">
        <v>29386.5</v>
      </c>
    </row>
    <row r="152" spans="1:16" ht="14.1" customHeight="1" x14ac:dyDescent="0.25">
      <c r="A152" s="15" t="s">
        <v>271</v>
      </c>
      <c r="B152" s="16" t="s">
        <v>272</v>
      </c>
      <c r="C152" s="31">
        <v>92813.7</v>
      </c>
      <c r="D152" s="32">
        <v>0</v>
      </c>
      <c r="E152" s="31">
        <v>727356.5</v>
      </c>
      <c r="F152" s="32">
        <v>8723.25</v>
      </c>
      <c r="G152" s="31">
        <v>177131.05</v>
      </c>
      <c r="H152" s="32">
        <v>0</v>
      </c>
      <c r="I152" s="31">
        <f>67581.35+161684.95</f>
        <v>229266.30000000002</v>
      </c>
      <c r="J152" s="32">
        <v>3917.94</v>
      </c>
      <c r="K152" s="31">
        <v>85112.5</v>
      </c>
      <c r="L152" s="32">
        <v>0</v>
      </c>
      <c r="M152" s="31">
        <v>172705.35</v>
      </c>
      <c r="N152" s="32">
        <v>11623.95</v>
      </c>
      <c r="O152" s="31">
        <v>263584.84999999998</v>
      </c>
      <c r="P152" s="32">
        <v>121101.9</v>
      </c>
    </row>
    <row r="153" spans="1:16" ht="14.1" customHeight="1" x14ac:dyDescent="0.25">
      <c r="A153" s="15" t="s">
        <v>273</v>
      </c>
      <c r="B153" s="16" t="s">
        <v>274</v>
      </c>
      <c r="C153" s="31">
        <v>101148.15</v>
      </c>
      <c r="D153" s="32">
        <v>24226</v>
      </c>
      <c r="E153" s="31">
        <v>785546.95</v>
      </c>
      <c r="F153" s="32">
        <v>20037.8</v>
      </c>
      <c r="G153" s="31">
        <v>210988.7</v>
      </c>
      <c r="H153" s="32">
        <v>21967.25</v>
      </c>
      <c r="I153" s="31">
        <f>2527.35+157997.1</f>
        <v>160524.45000000001</v>
      </c>
      <c r="J153" s="32">
        <f>1837.4+2639.07</f>
        <v>4476.47</v>
      </c>
      <c r="K153" s="31">
        <v>138502.29999999999</v>
      </c>
      <c r="L153" s="32">
        <v>0</v>
      </c>
      <c r="M153" s="31">
        <v>157335.95000000001</v>
      </c>
      <c r="N153" s="32">
        <v>0</v>
      </c>
      <c r="O153" s="31">
        <v>71103.05</v>
      </c>
      <c r="P153" s="32">
        <v>150</v>
      </c>
    </row>
    <row r="154" spans="1:16" ht="14.1" customHeight="1" x14ac:dyDescent="0.25">
      <c r="A154" s="15" t="s">
        <v>275</v>
      </c>
      <c r="B154" s="16" t="s">
        <v>276</v>
      </c>
      <c r="C154" s="31">
        <v>177351.7</v>
      </c>
      <c r="D154" s="32">
        <v>0</v>
      </c>
      <c r="E154" s="31">
        <v>1505784.25</v>
      </c>
      <c r="F154" s="32">
        <v>18918.8</v>
      </c>
      <c r="G154" s="31">
        <v>374280.9</v>
      </c>
      <c r="H154" s="32">
        <v>34596.449999999997</v>
      </c>
      <c r="I154" s="31">
        <f>50122+305467.46</f>
        <v>355589.46</v>
      </c>
      <c r="J154" s="32">
        <v>0</v>
      </c>
      <c r="K154" s="31">
        <v>154669.07999999999</v>
      </c>
      <c r="L154" s="32">
        <v>0</v>
      </c>
      <c r="M154" s="31">
        <v>257929.60000000001</v>
      </c>
      <c r="N154" s="32">
        <v>0</v>
      </c>
      <c r="O154" s="31">
        <v>493410.05</v>
      </c>
      <c r="P154" s="32">
        <v>12549.65</v>
      </c>
    </row>
    <row r="155" spans="1:16" ht="14.1" customHeight="1" x14ac:dyDescent="0.25">
      <c r="A155" s="15" t="s">
        <v>277</v>
      </c>
      <c r="B155" s="16" t="s">
        <v>278</v>
      </c>
      <c r="C155" s="31">
        <v>84044.15</v>
      </c>
      <c r="D155" s="32">
        <v>0</v>
      </c>
      <c r="E155" s="31">
        <f>630803.85-630</f>
        <v>630173.85</v>
      </c>
      <c r="F155" s="32">
        <v>10301.6</v>
      </c>
      <c r="G155" s="31">
        <v>175563.6</v>
      </c>
      <c r="H155" s="32">
        <v>9795.9</v>
      </c>
      <c r="I155" s="31">
        <f>3958.4+145470.1</f>
        <v>149428.5</v>
      </c>
      <c r="J155" s="32">
        <f>3781.7</f>
        <v>3781.7</v>
      </c>
      <c r="K155" s="31">
        <v>96395.95</v>
      </c>
      <c r="L155" s="32">
        <v>0</v>
      </c>
      <c r="M155" s="31">
        <v>124576.05</v>
      </c>
      <c r="N155" s="32">
        <v>0</v>
      </c>
      <c r="O155" s="31">
        <v>93912.25</v>
      </c>
      <c r="P155" s="32">
        <v>9470.35</v>
      </c>
    </row>
    <row r="156" spans="1:16" ht="14.1" customHeight="1" x14ac:dyDescent="0.25">
      <c r="A156" s="15" t="s">
        <v>279</v>
      </c>
      <c r="B156" s="16" t="s">
        <v>280</v>
      </c>
      <c r="C156" s="31">
        <v>117278.3</v>
      </c>
      <c r="D156" s="32">
        <v>0</v>
      </c>
      <c r="E156" s="31">
        <f>590553.4+314187.1</f>
        <v>904740.5</v>
      </c>
      <c r="F156" s="32">
        <v>2668.35</v>
      </c>
      <c r="G156" s="31">
        <v>239664.55</v>
      </c>
      <c r="H156" s="32">
        <v>24011.3</v>
      </c>
      <c r="I156" s="31">
        <f>11664.2+197178.2</f>
        <v>208842.40000000002</v>
      </c>
      <c r="J156" s="32">
        <v>0</v>
      </c>
      <c r="K156" s="31">
        <v>146059.9</v>
      </c>
      <c r="L156" s="32">
        <v>0</v>
      </c>
      <c r="M156" s="31">
        <v>149723.04999999999</v>
      </c>
      <c r="N156" s="32">
        <v>0</v>
      </c>
      <c r="O156" s="31">
        <v>129257.7</v>
      </c>
      <c r="P156" s="32">
        <v>99454.25</v>
      </c>
    </row>
    <row r="157" spans="1:16" ht="14.1" customHeight="1" x14ac:dyDescent="0.25">
      <c r="A157" s="15" t="s">
        <v>281</v>
      </c>
      <c r="B157" s="16" t="s">
        <v>282</v>
      </c>
      <c r="C157" s="31">
        <v>363368.65</v>
      </c>
      <c r="D157" s="32">
        <v>131888</v>
      </c>
      <c r="E157" s="31">
        <v>3382290.8</v>
      </c>
      <c r="F157" s="32">
        <v>2950</v>
      </c>
      <c r="G157" s="31">
        <v>797299.4</v>
      </c>
      <c r="H157" s="32">
        <v>81969.75</v>
      </c>
      <c r="I157" s="31">
        <v>841505.75</v>
      </c>
      <c r="J157" s="32">
        <v>0</v>
      </c>
      <c r="K157" s="31">
        <v>507767.15</v>
      </c>
      <c r="L157" s="32">
        <v>0</v>
      </c>
      <c r="M157" s="31">
        <v>1368482.65</v>
      </c>
      <c r="N157" s="32">
        <v>867566.6</v>
      </c>
      <c r="O157" s="31">
        <v>565844.6</v>
      </c>
      <c r="P157" s="32">
        <v>34093.65</v>
      </c>
    </row>
    <row r="158" spans="1:16" ht="14.1" customHeight="1" x14ac:dyDescent="0.25">
      <c r="A158" s="15" t="s">
        <v>283</v>
      </c>
      <c r="B158" s="16" t="s">
        <v>284</v>
      </c>
      <c r="C158" s="31">
        <v>260906.6</v>
      </c>
      <c r="D158" s="32">
        <v>10500</v>
      </c>
      <c r="E158" s="31">
        <f>1361395.45+869207</f>
        <v>2230602.4500000002</v>
      </c>
      <c r="F158" s="32">
        <v>39900</v>
      </c>
      <c r="G158" s="31">
        <v>657982.35</v>
      </c>
      <c r="H158" s="32">
        <v>148275.04999999999</v>
      </c>
      <c r="I158" s="31">
        <f>57085.9+478155.2</f>
        <v>535241.1</v>
      </c>
      <c r="J158" s="32">
        <v>0</v>
      </c>
      <c r="K158" s="31">
        <v>346184.65</v>
      </c>
      <c r="L158" s="32">
        <v>0</v>
      </c>
      <c r="M158" s="31">
        <v>349517.75</v>
      </c>
      <c r="N158" s="32">
        <v>0</v>
      </c>
      <c r="O158" s="31">
        <v>328210.8</v>
      </c>
      <c r="P158" s="32">
        <v>20252.8</v>
      </c>
    </row>
    <row r="159" spans="1:16" ht="14.1" customHeight="1" x14ac:dyDescent="0.25">
      <c r="A159" s="15" t="s">
        <v>285</v>
      </c>
      <c r="B159" s="16" t="s">
        <v>286</v>
      </c>
      <c r="C159" s="31">
        <v>108850.35</v>
      </c>
      <c r="D159" s="32">
        <v>0</v>
      </c>
      <c r="E159" s="31">
        <f>616681+342786.9</f>
        <v>959467.9</v>
      </c>
      <c r="F159" s="32">
        <v>6714</v>
      </c>
      <c r="G159" s="31">
        <v>180060.55</v>
      </c>
      <c r="H159" s="32">
        <v>0</v>
      </c>
      <c r="I159" s="31">
        <v>190098.48</v>
      </c>
      <c r="J159" s="32">
        <v>0</v>
      </c>
      <c r="K159" s="31">
        <v>113269</v>
      </c>
      <c r="L159" s="32">
        <v>0</v>
      </c>
      <c r="M159" s="31">
        <v>218234.75</v>
      </c>
      <c r="N159" s="32">
        <v>20288.900000000001</v>
      </c>
      <c r="O159" s="31">
        <v>222160.5</v>
      </c>
      <c r="P159" s="32">
        <v>677.5</v>
      </c>
    </row>
    <row r="160" spans="1:16" ht="14.1" customHeight="1" x14ac:dyDescent="0.25">
      <c r="A160" s="15" t="s">
        <v>287</v>
      </c>
      <c r="B160" s="16" t="s">
        <v>308</v>
      </c>
      <c r="C160" s="31">
        <v>216717.75</v>
      </c>
      <c r="D160" s="32">
        <v>0</v>
      </c>
      <c r="E160" s="31">
        <v>1803378.96</v>
      </c>
      <c r="F160" s="32">
        <v>67845.7</v>
      </c>
      <c r="G160" s="31">
        <v>450180.54</v>
      </c>
      <c r="H160" s="32">
        <v>38253.449999999997</v>
      </c>
      <c r="I160" s="31">
        <v>510090.56</v>
      </c>
      <c r="J160" s="32">
        <v>5757.3</v>
      </c>
      <c r="K160" s="31">
        <v>203761.4</v>
      </c>
      <c r="L160" s="32">
        <v>0</v>
      </c>
      <c r="M160" s="31">
        <v>273698.05</v>
      </c>
      <c r="N160" s="32">
        <v>0</v>
      </c>
      <c r="O160" s="31">
        <v>522711.3</v>
      </c>
      <c r="P160" s="32">
        <v>66583.55</v>
      </c>
    </row>
    <row r="161" spans="1:16" ht="14.1" customHeight="1" x14ac:dyDescent="0.25">
      <c r="A161" s="15" t="s">
        <v>288</v>
      </c>
      <c r="B161" s="16" t="s">
        <v>289</v>
      </c>
      <c r="C161" s="31">
        <v>494818.6</v>
      </c>
      <c r="D161" s="32">
        <v>0</v>
      </c>
      <c r="E161" s="31">
        <f>2419540.67+1508633.25</f>
        <v>3928173.92</v>
      </c>
      <c r="F161" s="32">
        <v>35258.25</v>
      </c>
      <c r="G161" s="31">
        <v>1090147.3999999999</v>
      </c>
      <c r="H161" s="32">
        <v>152741.20000000001</v>
      </c>
      <c r="I161" s="31">
        <v>1165603.78</v>
      </c>
      <c r="J161" s="32">
        <v>0</v>
      </c>
      <c r="K161" s="31">
        <v>469276.86</v>
      </c>
      <c r="L161" s="32">
        <v>0</v>
      </c>
      <c r="M161" s="31">
        <f>2187269.72+65251.1</f>
        <v>2252520.8200000003</v>
      </c>
      <c r="N161" s="32">
        <f>1370283+193586.55</f>
        <v>1563869.55</v>
      </c>
      <c r="O161" s="31">
        <v>653929.31000000006</v>
      </c>
      <c r="P161" s="32">
        <v>3400</v>
      </c>
    </row>
    <row r="162" spans="1:16" ht="14.1" customHeight="1" x14ac:dyDescent="0.25">
      <c r="A162" s="33" t="s">
        <v>290</v>
      </c>
      <c r="B162" s="34" t="s">
        <v>291</v>
      </c>
      <c r="C162" s="35">
        <v>37623.949999999997</v>
      </c>
      <c r="D162" s="36">
        <v>0</v>
      </c>
      <c r="E162" s="35">
        <v>351545.65</v>
      </c>
      <c r="F162" s="36">
        <v>0</v>
      </c>
      <c r="G162" s="35">
        <v>71435.199999999997</v>
      </c>
      <c r="H162" s="36">
        <v>0</v>
      </c>
      <c r="I162" s="35">
        <f>14664.2+65587.2</f>
        <v>80251.399999999994</v>
      </c>
      <c r="J162" s="36">
        <v>1024</v>
      </c>
      <c r="K162" s="35">
        <v>61831.05</v>
      </c>
      <c r="L162" s="36">
        <v>0</v>
      </c>
      <c r="M162" s="35">
        <v>77368.7</v>
      </c>
      <c r="N162" s="36">
        <v>4390.45</v>
      </c>
      <c r="O162" s="35">
        <v>43544.7</v>
      </c>
      <c r="P162" s="36">
        <v>6032</v>
      </c>
    </row>
    <row r="163" spans="1:16" ht="14.1" customHeight="1" x14ac:dyDescent="0.25">
      <c r="A163" s="15" t="s">
        <v>292</v>
      </c>
      <c r="B163" s="16" t="s">
        <v>337</v>
      </c>
      <c r="C163" s="31">
        <v>273934.05</v>
      </c>
      <c r="D163" s="32">
        <v>0</v>
      </c>
      <c r="E163" s="31">
        <f>1369433.95+733027.75</f>
        <v>2102461.7000000002</v>
      </c>
      <c r="F163" s="32">
        <f>302793.3+148</f>
        <v>302941.3</v>
      </c>
      <c r="G163" s="31">
        <v>551655.35</v>
      </c>
      <c r="H163" s="32">
        <v>0</v>
      </c>
      <c r="I163" s="31">
        <v>558855.44999999995</v>
      </c>
      <c r="J163" s="32">
        <v>0</v>
      </c>
      <c r="K163" s="31">
        <v>278791.40000000002</v>
      </c>
      <c r="L163" s="32">
        <v>0</v>
      </c>
      <c r="M163" s="31">
        <v>418164.1</v>
      </c>
      <c r="N163" s="32">
        <v>118.6</v>
      </c>
      <c r="O163" s="31">
        <v>921656.58</v>
      </c>
      <c r="P163" s="32">
        <v>57274.6</v>
      </c>
    </row>
    <row r="164" spans="1:16" ht="14.1" customHeight="1" x14ac:dyDescent="0.25">
      <c r="A164" s="15" t="s">
        <v>293</v>
      </c>
      <c r="B164" s="16" t="s">
        <v>294</v>
      </c>
      <c r="C164" s="31">
        <v>121362</v>
      </c>
      <c r="D164" s="32">
        <v>0</v>
      </c>
      <c r="E164" s="31">
        <v>985655.45</v>
      </c>
      <c r="F164" s="32">
        <v>76359.149999999994</v>
      </c>
      <c r="G164" s="31">
        <v>250883.3</v>
      </c>
      <c r="H164" s="32">
        <v>0</v>
      </c>
      <c r="I164" s="31">
        <v>251171.9</v>
      </c>
      <c r="J164" s="32">
        <v>0</v>
      </c>
      <c r="K164" s="31">
        <v>117710.8</v>
      </c>
      <c r="L164" s="32">
        <v>0</v>
      </c>
      <c r="M164" s="31">
        <v>161904.5</v>
      </c>
      <c r="N164" s="32">
        <v>0</v>
      </c>
      <c r="O164" s="31">
        <v>286538.15000000002</v>
      </c>
      <c r="P164" s="32">
        <v>18840</v>
      </c>
    </row>
    <row r="165" spans="1:16" ht="14.1" customHeight="1" x14ac:dyDescent="0.25">
      <c r="A165" s="15" t="s">
        <v>295</v>
      </c>
      <c r="B165" s="16" t="s">
        <v>296</v>
      </c>
      <c r="C165" s="31">
        <v>511811.3</v>
      </c>
      <c r="D165" s="32">
        <v>0</v>
      </c>
      <c r="E165" s="31">
        <v>4816195.0999999996</v>
      </c>
      <c r="F165" s="32">
        <v>364308.8</v>
      </c>
      <c r="G165" s="31">
        <v>1128001.6000000001</v>
      </c>
      <c r="H165" s="32">
        <v>0</v>
      </c>
      <c r="I165" s="31">
        <v>1165328.8500000001</v>
      </c>
      <c r="J165" s="32">
        <v>0</v>
      </c>
      <c r="K165" s="31">
        <v>666338.35</v>
      </c>
      <c r="L165" s="32">
        <v>49990.75</v>
      </c>
      <c r="M165" s="31">
        <v>1420524.74</v>
      </c>
      <c r="N165" s="32">
        <v>666972.35</v>
      </c>
      <c r="O165" s="31">
        <v>3901830.56</v>
      </c>
      <c r="P165" s="32">
        <v>1167211.1000000001</v>
      </c>
    </row>
    <row r="166" spans="1:16" ht="14.1" customHeight="1" x14ac:dyDescent="0.25">
      <c r="A166" s="15" t="s">
        <v>298</v>
      </c>
      <c r="B166" s="16" t="s">
        <v>299</v>
      </c>
      <c r="C166" s="31">
        <v>73103.149999999994</v>
      </c>
      <c r="D166" s="32">
        <v>0</v>
      </c>
      <c r="E166" s="31">
        <f>868815.9-12232.15</f>
        <v>856583.75</v>
      </c>
      <c r="F166" s="32">
        <v>650</v>
      </c>
      <c r="G166" s="31">
        <v>151401.65</v>
      </c>
      <c r="H166" s="32">
        <v>0</v>
      </c>
      <c r="I166" s="31">
        <v>149325.25</v>
      </c>
      <c r="J166" s="32">
        <v>0</v>
      </c>
      <c r="K166" s="31">
        <v>75754.649999999994</v>
      </c>
      <c r="L166" s="32">
        <v>0</v>
      </c>
      <c r="M166" s="31">
        <v>104069.9</v>
      </c>
      <c r="N166" s="32">
        <v>0</v>
      </c>
      <c r="O166" s="31">
        <v>147004.70000000001</v>
      </c>
      <c r="P166" s="32">
        <v>0</v>
      </c>
    </row>
    <row r="167" spans="1:16" ht="14.1" customHeight="1" x14ac:dyDescent="0.25">
      <c r="A167" s="15" t="s">
        <v>301</v>
      </c>
      <c r="B167" s="16" t="s">
        <v>302</v>
      </c>
      <c r="C167" s="31">
        <v>80610.05</v>
      </c>
      <c r="D167" s="32">
        <v>0</v>
      </c>
      <c r="E167" s="31">
        <v>608932.1</v>
      </c>
      <c r="F167" s="32">
        <v>7452</v>
      </c>
      <c r="G167" s="31">
        <v>167749.6</v>
      </c>
      <c r="H167" s="32">
        <v>0</v>
      </c>
      <c r="I167" s="31">
        <v>167702.54999999999</v>
      </c>
      <c r="J167" s="32">
        <v>0</v>
      </c>
      <c r="K167" s="31">
        <v>75098.5</v>
      </c>
      <c r="L167" s="32">
        <v>0</v>
      </c>
      <c r="M167" s="31">
        <v>108675.55</v>
      </c>
      <c r="N167" s="32">
        <v>0</v>
      </c>
      <c r="O167" s="31">
        <v>206523.25</v>
      </c>
      <c r="P167" s="32">
        <v>0</v>
      </c>
    </row>
    <row r="168" spans="1:16" ht="14.1" customHeight="1" x14ac:dyDescent="0.25">
      <c r="A168" s="15" t="s">
        <v>303</v>
      </c>
      <c r="B168" s="16" t="s">
        <v>304</v>
      </c>
      <c r="C168" s="31">
        <v>84995.4</v>
      </c>
      <c r="D168" s="32">
        <v>0</v>
      </c>
      <c r="E168" s="31">
        <v>656510.75</v>
      </c>
      <c r="F168" s="32">
        <v>0</v>
      </c>
      <c r="G168" s="31">
        <v>142390.6</v>
      </c>
      <c r="H168" s="32">
        <v>0</v>
      </c>
      <c r="I168" s="31">
        <v>174982.6</v>
      </c>
      <c r="J168" s="32">
        <v>0</v>
      </c>
      <c r="K168" s="31">
        <v>74206.5</v>
      </c>
      <c r="L168" s="32">
        <v>0</v>
      </c>
      <c r="M168" s="31">
        <v>92639.6</v>
      </c>
      <c r="N168" s="32">
        <v>8731.85</v>
      </c>
      <c r="O168" s="31">
        <v>255722.85</v>
      </c>
      <c r="P168" s="32">
        <v>5239.55</v>
      </c>
    </row>
    <row r="169" spans="1:16" ht="14.1" customHeight="1" x14ac:dyDescent="0.25">
      <c r="A169" s="15" t="s">
        <v>305</v>
      </c>
      <c r="B169" s="16" t="s">
        <v>306</v>
      </c>
      <c r="C169" s="31">
        <v>107509.85</v>
      </c>
      <c r="D169" s="32">
        <v>0</v>
      </c>
      <c r="E169" s="31">
        <v>838658.45</v>
      </c>
      <c r="F169" s="32">
        <v>38912</v>
      </c>
      <c r="G169" s="31">
        <v>230183.1</v>
      </c>
      <c r="H169" s="32">
        <v>0</v>
      </c>
      <c r="I169" s="31">
        <v>230427.3</v>
      </c>
      <c r="J169" s="32">
        <v>0</v>
      </c>
      <c r="K169" s="31">
        <v>96134.05</v>
      </c>
      <c r="L169" s="32">
        <v>0</v>
      </c>
      <c r="M169" s="31">
        <v>132348.65</v>
      </c>
      <c r="N169" s="32">
        <v>24947.55</v>
      </c>
      <c r="O169" s="31">
        <v>268324.05</v>
      </c>
      <c r="P169" s="32">
        <v>28063.4</v>
      </c>
    </row>
    <row r="170" spans="1:16" ht="14.1" customHeight="1" x14ac:dyDescent="0.25">
      <c r="A170" s="15">
        <v>2337</v>
      </c>
      <c r="B170" s="16" t="s">
        <v>300</v>
      </c>
      <c r="C170" s="31">
        <v>91870.45</v>
      </c>
      <c r="D170" s="32">
        <v>0</v>
      </c>
      <c r="E170" s="31">
        <v>644430.85</v>
      </c>
      <c r="F170" s="32">
        <v>42851.35</v>
      </c>
      <c r="G170" s="31">
        <v>181916.15</v>
      </c>
      <c r="H170" s="32">
        <v>0</v>
      </c>
      <c r="I170" s="31">
        <v>182423.85</v>
      </c>
      <c r="J170" s="32">
        <v>0</v>
      </c>
      <c r="K170" s="31">
        <v>86545.75</v>
      </c>
      <c r="L170" s="32">
        <v>0</v>
      </c>
      <c r="M170" s="31">
        <v>90337.7</v>
      </c>
      <c r="N170" s="32">
        <v>6628.4</v>
      </c>
      <c r="O170" s="31">
        <v>93702.85</v>
      </c>
      <c r="P170" s="32">
        <v>9271.9</v>
      </c>
    </row>
    <row r="171" spans="1:16" ht="14.1" customHeight="1" x14ac:dyDescent="0.25">
      <c r="A171" s="15">
        <v>2338</v>
      </c>
      <c r="B171" s="16" t="s">
        <v>297</v>
      </c>
      <c r="C171" s="31">
        <v>97053.8</v>
      </c>
      <c r="D171" s="32">
        <v>0</v>
      </c>
      <c r="E171" s="31">
        <f>719732.45-41684.9</f>
        <v>678047.54999999993</v>
      </c>
      <c r="F171" s="32">
        <v>9870</v>
      </c>
      <c r="G171" s="31">
        <v>196007.55</v>
      </c>
      <c r="H171" s="32">
        <v>0</v>
      </c>
      <c r="I171" s="31">
        <v>198824.85</v>
      </c>
      <c r="J171" s="32">
        <v>0</v>
      </c>
      <c r="K171" s="31">
        <v>77002.100000000006</v>
      </c>
      <c r="L171" s="32">
        <v>0</v>
      </c>
      <c r="M171" s="31">
        <v>463465.65</v>
      </c>
      <c r="N171" s="32">
        <v>353905.6</v>
      </c>
      <c r="O171" s="31">
        <v>210711.8</v>
      </c>
      <c r="P171" s="32">
        <v>39021.699999999997</v>
      </c>
    </row>
    <row r="172" spans="1:16" ht="14.1" customHeight="1" x14ac:dyDescent="0.25">
      <c r="A172" s="17"/>
      <c r="B172" s="18"/>
      <c r="C172" s="9"/>
      <c r="D172" s="9"/>
      <c r="E172" s="9"/>
      <c r="F172" s="9"/>
      <c r="G172" s="9"/>
      <c r="H172" s="9"/>
      <c r="I172" s="9"/>
      <c r="J172" s="9"/>
      <c r="K172" s="9"/>
      <c r="L172" s="9"/>
      <c r="M172" s="9"/>
      <c r="N172" s="9"/>
      <c r="O172" s="9"/>
      <c r="P172" s="9"/>
    </row>
    <row r="173" spans="1:16" s="3" customFormat="1" ht="14.1" customHeight="1" x14ac:dyDescent="0.25">
      <c r="A173" s="17"/>
      <c r="B173" s="18" t="s">
        <v>316</v>
      </c>
      <c r="C173" s="10">
        <f t="shared" ref="C173:P173" si="0">SUM(C7:C171)</f>
        <v>27465892.840000007</v>
      </c>
      <c r="D173" s="10">
        <f t="shared" si="0"/>
        <v>434170.45000000007</v>
      </c>
      <c r="E173" s="10">
        <f t="shared" si="0"/>
        <v>245743977.04999992</v>
      </c>
      <c r="F173" s="10">
        <f t="shared" si="0"/>
        <v>18609137.930000007</v>
      </c>
      <c r="G173" s="10">
        <f t="shared" si="0"/>
        <v>51907266.820000008</v>
      </c>
      <c r="H173" s="10">
        <f t="shared" si="0"/>
        <v>2116570.1</v>
      </c>
      <c r="I173" s="10">
        <f t="shared" si="0"/>
        <v>57971163.35999997</v>
      </c>
      <c r="J173" s="10">
        <f t="shared" si="0"/>
        <v>188798.12</v>
      </c>
      <c r="K173" s="10">
        <f t="shared" si="0"/>
        <v>26069477.229999986</v>
      </c>
      <c r="L173" s="10">
        <f t="shared" si="0"/>
        <v>623950.73</v>
      </c>
      <c r="M173" s="10">
        <f t="shared" si="0"/>
        <v>67347001.649999961</v>
      </c>
      <c r="N173" s="10">
        <f t="shared" si="0"/>
        <v>23679484.680000003</v>
      </c>
      <c r="O173" s="10">
        <f t="shared" si="0"/>
        <v>71369403.289999977</v>
      </c>
      <c r="P173" s="10">
        <f t="shared" si="0"/>
        <v>23559199.360000011</v>
      </c>
    </row>
    <row r="174" spans="1:16" ht="14.1" customHeight="1" x14ac:dyDescent="0.25">
      <c r="A174" s="17"/>
      <c r="B174" s="18"/>
      <c r="C174" s="9"/>
      <c r="D174" s="9"/>
      <c r="E174" s="9"/>
      <c r="F174" s="9"/>
      <c r="G174" s="9"/>
      <c r="H174" s="9"/>
      <c r="I174" s="9"/>
      <c r="J174" s="9"/>
      <c r="K174" s="9"/>
      <c r="L174" s="9"/>
      <c r="M174" s="9"/>
      <c r="N174" s="9"/>
      <c r="O174" s="9"/>
      <c r="P174" s="9"/>
    </row>
    <row r="175" spans="1:16" s="7" customFormat="1" ht="14.1" customHeight="1" x14ac:dyDescent="0.25">
      <c r="A175" s="19"/>
      <c r="B175" s="20" t="s">
        <v>318</v>
      </c>
      <c r="C175" s="11">
        <f>SUM(C173-D173)</f>
        <v>27031722.390000008</v>
      </c>
      <c r="D175" s="12"/>
      <c r="E175" s="11">
        <f>SUM(E173-F173)</f>
        <v>227134839.11999992</v>
      </c>
      <c r="F175" s="12"/>
      <c r="G175" s="11">
        <f>SUM(G173-H173)</f>
        <v>49790696.720000006</v>
      </c>
      <c r="H175" s="12"/>
      <c r="I175" s="11">
        <f>SUM(I173-J173)</f>
        <v>57782365.239999972</v>
      </c>
      <c r="J175" s="12"/>
      <c r="K175" s="11">
        <f>SUM(K173-L173)</f>
        <v>25445526.499999985</v>
      </c>
      <c r="L175" s="12"/>
      <c r="M175" s="11">
        <f>SUM(M173-N173)</f>
        <v>43667516.969999954</v>
      </c>
      <c r="N175" s="12"/>
      <c r="O175" s="11">
        <f>SUM(O173-P173)</f>
        <v>47810203.929999962</v>
      </c>
      <c r="P175" s="12"/>
    </row>
    <row r="176" spans="1:16" s="3" customFormat="1" ht="14.1" customHeight="1" x14ac:dyDescent="0.25">
      <c r="A176" s="21"/>
      <c r="B176" s="22"/>
      <c r="C176" s="26"/>
      <c r="D176" s="26"/>
      <c r="E176" s="26"/>
      <c r="F176" s="26"/>
      <c r="G176" s="26"/>
      <c r="H176" s="26"/>
      <c r="I176" s="26"/>
      <c r="J176" s="26"/>
      <c r="K176" s="26"/>
      <c r="L176" s="26"/>
      <c r="M176" s="26"/>
      <c r="N176" s="26"/>
      <c r="O176" s="26"/>
      <c r="P176" s="26"/>
    </row>
    <row r="177" spans="1:57" s="3" customFormat="1" ht="14.1" customHeight="1" x14ac:dyDescent="0.25">
      <c r="A177" s="2"/>
    </row>
    <row r="178" spans="1:57" s="3" customFormat="1" ht="14.1" customHeight="1" x14ac:dyDescent="0.25">
      <c r="A178" s="2"/>
      <c r="B178" s="3" t="s">
        <v>321</v>
      </c>
      <c r="C178" s="24">
        <v>44096508.430000007</v>
      </c>
      <c r="D178" s="24">
        <v>27254125.650000006</v>
      </c>
      <c r="E178" s="27"/>
      <c r="F178" s="27"/>
    </row>
    <row r="179" spans="1:57" s="7" customFormat="1" ht="14.1" customHeight="1" x14ac:dyDescent="0.25">
      <c r="A179" s="6"/>
      <c r="B179" s="7" t="s">
        <v>323</v>
      </c>
      <c r="C179" s="25">
        <f>SUM(C178-D178)</f>
        <v>16842382.780000001</v>
      </c>
      <c r="D179" s="25"/>
      <c r="E179" s="28"/>
      <c r="F179" s="25"/>
    </row>
    <row r="180" spans="1:57" s="3" customFormat="1" ht="14.1" customHeight="1" x14ac:dyDescent="0.25">
      <c r="A180" s="2"/>
      <c r="C180" s="24"/>
      <c r="D180" s="24"/>
    </row>
    <row r="181" spans="1:57" s="3" customFormat="1" ht="14.1" customHeight="1" x14ac:dyDescent="0.25">
      <c r="A181" s="2"/>
      <c r="B181" s="3" t="s">
        <v>322</v>
      </c>
      <c r="C181" s="24">
        <v>114282914.46000004</v>
      </c>
      <c r="D181" s="24">
        <v>36919178.770000011</v>
      </c>
    </row>
    <row r="182" spans="1:57" s="7" customFormat="1" ht="14.1" customHeight="1" x14ac:dyDescent="0.25">
      <c r="A182" s="6"/>
      <c r="B182" s="7" t="s">
        <v>324</v>
      </c>
      <c r="C182" s="25">
        <f>SUM(C181-D181)</f>
        <v>77363735.690000027</v>
      </c>
      <c r="D182" s="25"/>
    </row>
    <row r="183" spans="1:57" s="3" customFormat="1" ht="14.1" customHeight="1" x14ac:dyDescent="0.25">
      <c r="A183" s="2"/>
    </row>
    <row r="184" spans="1:57" s="3" customFormat="1" ht="14.1" customHeight="1" x14ac:dyDescent="0.25">
      <c r="A184" s="2"/>
      <c r="B184" s="3" t="s">
        <v>339</v>
      </c>
      <c r="C184" s="24">
        <f>M173</f>
        <v>67347001.649999961</v>
      </c>
      <c r="D184" s="24">
        <f>N173</f>
        <v>23679484.680000003</v>
      </c>
    </row>
    <row r="185" spans="1:57" s="7" customFormat="1" ht="14.1" customHeight="1" x14ac:dyDescent="0.25">
      <c r="A185" s="6"/>
      <c r="B185" s="7" t="s">
        <v>340</v>
      </c>
      <c r="C185" s="25">
        <f>C184-D184</f>
        <v>43667516.969999954</v>
      </c>
      <c r="D185" s="25"/>
    </row>
    <row r="186" spans="1:57" s="3" customFormat="1" ht="14.1" customHeight="1" x14ac:dyDescent="0.25">
      <c r="A186" s="2"/>
    </row>
    <row r="187" spans="1:57" s="3" customFormat="1" ht="14.1" customHeight="1" x14ac:dyDescent="0.25">
      <c r="A187" s="2"/>
      <c r="B187" s="3" t="s">
        <v>328</v>
      </c>
      <c r="C187" s="24">
        <f>SUM(I173,K173)</f>
        <v>84040640.589999959</v>
      </c>
      <c r="D187" s="24">
        <f>SUM(J173,L173)</f>
        <v>812748.85</v>
      </c>
      <c r="E187" s="27"/>
      <c r="F187" s="27"/>
      <c r="G187" s="24"/>
      <c r="H187" s="24"/>
      <c r="I187" s="24"/>
      <c r="J187" s="24"/>
      <c r="K187" s="24"/>
      <c r="L187" s="24"/>
      <c r="M187" s="24"/>
      <c r="N187" s="24"/>
      <c r="O187" s="24"/>
      <c r="P187" s="24"/>
      <c r="Q187" s="24"/>
      <c r="R187" s="24"/>
      <c r="S187" s="24"/>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c r="BB187" s="24"/>
      <c r="BC187" s="24"/>
      <c r="BD187" s="24"/>
      <c r="BE187" s="24"/>
    </row>
    <row r="188" spans="1:57" s="7" customFormat="1" ht="14.1" customHeight="1" x14ac:dyDescent="0.25">
      <c r="A188" s="6"/>
      <c r="B188" s="7" t="s">
        <v>329</v>
      </c>
      <c r="C188" s="25">
        <f>SUM(C187-D187)</f>
        <v>83227891.739999965</v>
      </c>
      <c r="D188" s="25"/>
      <c r="E188" s="28"/>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row>
    <row r="189" spans="1:57" s="3" customFormat="1" ht="14.1" customHeight="1" x14ac:dyDescent="0.25">
      <c r="A189" s="2"/>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c r="BB189" s="24"/>
      <c r="BC189" s="24"/>
      <c r="BD189" s="24"/>
      <c r="BE189" s="24"/>
    </row>
    <row r="190" spans="1:57" s="3" customFormat="1" ht="14.1" customHeight="1" x14ac:dyDescent="0.25">
      <c r="A190" s="2"/>
      <c r="B190" s="3" t="s">
        <v>331</v>
      </c>
      <c r="C190" s="24">
        <f>SUM(C173,E173,G173)</f>
        <v>325117136.70999992</v>
      </c>
      <c r="D190" s="24">
        <f>SUM(D173,F173,H173)</f>
        <v>21159878.480000008</v>
      </c>
      <c r="E190" s="27"/>
      <c r="F190" s="27"/>
      <c r="G190" s="24"/>
      <c r="H190" s="24"/>
      <c r="I190" s="24"/>
      <c r="J190" s="24"/>
      <c r="K190" s="24"/>
      <c r="L190" s="24"/>
      <c r="M190" s="24"/>
      <c r="N190" s="24"/>
      <c r="O190" s="24"/>
      <c r="P190" s="24"/>
      <c r="Q190" s="24"/>
      <c r="R190" s="24"/>
      <c r="S190" s="24"/>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row>
    <row r="191" spans="1:57" s="7" customFormat="1" ht="14.1" customHeight="1" x14ac:dyDescent="0.25">
      <c r="A191" s="6"/>
      <c r="B191" s="7" t="s">
        <v>332</v>
      </c>
      <c r="C191" s="25">
        <f>SUM(C190-D190)</f>
        <v>303957258.2299999</v>
      </c>
      <c r="D191" s="25"/>
      <c r="E191" s="28"/>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row>
    <row r="192" spans="1:57" s="3" customFormat="1" ht="14.1" customHeight="1" x14ac:dyDescent="0.25">
      <c r="A192" s="2"/>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c r="BB192" s="24"/>
      <c r="BC192" s="24"/>
      <c r="BD192" s="24"/>
      <c r="BE192" s="24"/>
    </row>
    <row r="193" spans="1:57" s="3" customFormat="1" ht="14.1" customHeight="1" x14ac:dyDescent="0.25">
      <c r="A193" s="2"/>
      <c r="B193" s="306" t="s">
        <v>362</v>
      </c>
      <c r="C193" s="307">
        <f>O173</f>
        <v>71369403.289999977</v>
      </c>
      <c r="D193" s="307">
        <f>P173</f>
        <v>23559199.360000011</v>
      </c>
      <c r="E193" s="24"/>
      <c r="F193" s="24"/>
      <c r="G193" s="24"/>
      <c r="H193" s="24"/>
      <c r="I193" s="24"/>
      <c r="J193" s="24"/>
      <c r="K193" s="24"/>
      <c r="L193" s="24"/>
      <c r="M193" s="24"/>
      <c r="N193" s="24"/>
      <c r="O193" s="24"/>
      <c r="P193" s="24"/>
      <c r="Q193" s="24"/>
      <c r="R193" s="24"/>
      <c r="S193" s="24"/>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row>
    <row r="194" spans="1:57" s="7" customFormat="1" ht="14.1" customHeight="1" x14ac:dyDescent="0.25">
      <c r="A194" s="6"/>
      <c r="B194" s="308" t="s">
        <v>363</v>
      </c>
      <c r="C194" s="309">
        <f>C193-D193</f>
        <v>47810203.929999962</v>
      </c>
      <c r="D194" s="309"/>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row>
    <row r="195" spans="1:57" s="3" customFormat="1" ht="14.1" customHeight="1" x14ac:dyDescent="0.25">
      <c r="A195" s="2"/>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row>
    <row r="196" spans="1:57" s="3" customFormat="1" ht="14.1" customHeight="1" x14ac:dyDescent="0.25">
      <c r="A196" s="2"/>
      <c r="C196" s="24">
        <f>SUM(C179,C182,C185,C188,C191)</f>
        <v>525058785.40999985</v>
      </c>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row>
    <row r="197" spans="1:57" s="3" customFormat="1" ht="14.1" customHeight="1" x14ac:dyDescent="0.25">
      <c r="A197" s="2"/>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row>
    <row r="198" spans="1:57" s="3" customFormat="1" ht="14.1" customHeight="1" x14ac:dyDescent="0.25">
      <c r="A198" s="2"/>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row>
    <row r="199" spans="1:57" s="3" customFormat="1" ht="14.1" customHeight="1" x14ac:dyDescent="0.25">
      <c r="A199" s="2"/>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row>
    <row r="200" spans="1:57" s="3" customFormat="1" ht="14.1" customHeight="1" x14ac:dyDescent="0.25">
      <c r="A200" s="2"/>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row>
    <row r="201" spans="1:57" s="3" customFormat="1" ht="14.1" customHeight="1" x14ac:dyDescent="0.25">
      <c r="A201" s="2"/>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row>
    <row r="202" spans="1:57" s="3" customFormat="1" ht="14.1" customHeight="1" x14ac:dyDescent="0.25">
      <c r="A202" s="2"/>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row>
    <row r="203" spans="1:57" s="3" customFormat="1" ht="14.1" customHeight="1" x14ac:dyDescent="0.25">
      <c r="A203" s="2"/>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row>
    <row r="204" spans="1:57" s="3" customFormat="1" ht="14.1" customHeight="1" x14ac:dyDescent="0.25">
      <c r="A204" s="2"/>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row>
    <row r="205" spans="1:57" s="3" customFormat="1" ht="14.1" customHeight="1" x14ac:dyDescent="0.25">
      <c r="A205" s="2"/>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c r="BD205" s="24"/>
      <c r="BE205" s="24"/>
    </row>
    <row r="206" spans="1:57" s="3" customFormat="1" ht="14.1" customHeight="1" x14ac:dyDescent="0.25">
      <c r="A206" s="2"/>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row>
    <row r="207" spans="1:57" s="3" customFormat="1" ht="14.1" customHeight="1" x14ac:dyDescent="0.25">
      <c r="A207" s="2"/>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row>
    <row r="208" spans="1:57" s="3" customFormat="1" ht="14.1" customHeight="1" x14ac:dyDescent="0.25">
      <c r="A208" s="2"/>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row>
    <row r="209" spans="1:57" s="3" customFormat="1" ht="14.1" customHeight="1" x14ac:dyDescent="0.25">
      <c r="A209" s="2"/>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row>
    <row r="210" spans="1:57" s="3" customFormat="1" ht="14.1" customHeight="1" x14ac:dyDescent="0.25">
      <c r="A210" s="2"/>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row>
    <row r="211" spans="1:57" s="3" customFormat="1" ht="14.1" customHeight="1" x14ac:dyDescent="0.25">
      <c r="A211" s="2"/>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row>
    <row r="212" spans="1:57" s="3" customFormat="1" ht="14.1" customHeight="1" x14ac:dyDescent="0.25">
      <c r="A212" s="2"/>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row>
    <row r="213" spans="1:57" s="3" customFormat="1" ht="14.1" customHeight="1" x14ac:dyDescent="0.25">
      <c r="A213" s="2"/>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row>
    <row r="214" spans="1:57" s="3" customFormat="1" ht="14.1" customHeight="1" x14ac:dyDescent="0.25">
      <c r="A214" s="2"/>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row>
    <row r="215" spans="1:57" s="3" customFormat="1" ht="14.1" customHeight="1" x14ac:dyDescent="0.25">
      <c r="A215" s="2"/>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row>
    <row r="216" spans="1:57" s="3" customFormat="1" ht="14.1" customHeight="1" x14ac:dyDescent="0.25">
      <c r="A216" s="2"/>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row>
    <row r="217" spans="1:57" s="3" customFormat="1" ht="14.1" customHeight="1" x14ac:dyDescent="0.25">
      <c r="A217" s="2"/>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row>
    <row r="218" spans="1:57" s="3" customFormat="1" ht="14.1" customHeight="1" x14ac:dyDescent="0.25">
      <c r="A218" s="2"/>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row>
    <row r="219" spans="1:57" s="3" customFormat="1" ht="14.1" customHeight="1" x14ac:dyDescent="0.25">
      <c r="A219" s="2"/>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row>
    <row r="220" spans="1:57" s="3" customFormat="1" ht="14.1" customHeight="1" x14ac:dyDescent="0.25">
      <c r="A220" s="2"/>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row>
    <row r="221" spans="1:57" s="3" customFormat="1" ht="14.1" customHeight="1" x14ac:dyDescent="0.25">
      <c r="A221" s="2"/>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row>
    <row r="222" spans="1:57" ht="14.1" customHeight="1" x14ac:dyDescent="0.25">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row>
    <row r="223" spans="1:57" ht="14.1" customHeight="1" x14ac:dyDescent="0.25">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row>
    <row r="224" spans="1:57" ht="14.1" customHeight="1" x14ac:dyDescent="0.25">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row>
    <row r="225" spans="3:57" ht="14.1" customHeight="1" x14ac:dyDescent="0.25">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row>
    <row r="226" spans="3:57" ht="14.1" customHeight="1" x14ac:dyDescent="0.25">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row>
    <row r="227" spans="3:57" ht="14.1" customHeight="1" x14ac:dyDescent="0.25">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row>
    <row r="228" spans="3:57" ht="14.1" customHeight="1" x14ac:dyDescent="0.25">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row>
    <row r="229" spans="3:57" ht="14.1" customHeight="1" x14ac:dyDescent="0.25">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row>
    <row r="230" spans="3:57" ht="14.1" customHeight="1" x14ac:dyDescent="0.25">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row>
    <row r="231" spans="3:57" ht="14.1" customHeight="1" x14ac:dyDescent="0.25">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row>
    <row r="232" spans="3:57" ht="14.1" customHeight="1" x14ac:dyDescent="0.25">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row>
    <row r="233" spans="3:57" ht="14.1" customHeight="1" x14ac:dyDescent="0.25">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row>
    <row r="234" spans="3:57" ht="14.1" customHeight="1" x14ac:dyDescent="0.25">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row>
    <row r="235" spans="3:57" ht="14.1" customHeight="1" x14ac:dyDescent="0.25">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row>
    <row r="236" spans="3:57" ht="14.1" customHeight="1" x14ac:dyDescent="0.25">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row>
    <row r="237" spans="3:57" ht="14.1" customHeight="1" x14ac:dyDescent="0.25">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row>
    <row r="238" spans="3:57" ht="14.1" customHeight="1" x14ac:dyDescent="0.25">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row>
    <row r="239" spans="3:57" ht="14.1" customHeight="1" x14ac:dyDescent="0.25">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row>
  </sheetData>
  <mergeCells count="8">
    <mergeCell ref="A1:E1"/>
    <mergeCell ref="O4:P4"/>
    <mergeCell ref="C4:D4"/>
    <mergeCell ref="E4:F4"/>
    <mergeCell ref="G4:H4"/>
    <mergeCell ref="I4:J4"/>
    <mergeCell ref="K4:L4"/>
    <mergeCell ref="M4:N4"/>
  </mergeCells>
  <pageMargins left="0.39370078740157483" right="0.19685039370078741" top="0.19685039370078741" bottom="0.19685039370078741" header="0.51181102362204722" footer="0.51181102362204722"/>
  <pageSetup paperSize="9" orientation="landscape" horizontalDpi="4294967292" verticalDpi="1200" r:id="rId1"/>
  <headerFooter alignWithMargins="0"/>
  <rowBreaks count="1" manualBreakCount="1">
    <brk id="177" max="16383"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33"/>
  <sheetViews>
    <sheetView zoomScale="110" zoomScaleNormal="110" workbookViewId="0">
      <pane xSplit="2" ySplit="6" topLeftCell="Q8" activePane="bottomRight" state="frozen"/>
      <selection pane="topRight" activeCell="C1" sqref="C1"/>
      <selection pane="bottomLeft" activeCell="A7" sqref="A7"/>
      <selection pane="bottomRight" activeCell="T22" sqref="T22"/>
    </sheetView>
  </sheetViews>
  <sheetFormatPr baseColWidth="10" defaultColWidth="10.6640625" defaultRowHeight="14.1" customHeight="1" x14ac:dyDescent="0.25"/>
  <cols>
    <col min="1" max="1" width="5.6640625" style="263" customWidth="1"/>
    <col min="2" max="2" width="25.6640625" style="264" customWidth="1"/>
    <col min="3" max="53" width="15.6640625" style="265" customWidth="1"/>
    <col min="54" max="16384" width="10.6640625" style="265"/>
  </cols>
  <sheetData>
    <row r="1" spans="1:20" s="264" customFormat="1" ht="14.1" customHeight="1" x14ac:dyDescent="0.25">
      <c r="A1" s="262">
        <v>164</v>
      </c>
      <c r="B1" s="263" t="s">
        <v>427</v>
      </c>
    </row>
    <row r="2" spans="1:20" ht="14.1" customHeight="1" x14ac:dyDescent="0.25">
      <c r="A2" s="262"/>
      <c r="B2" s="263" t="s">
        <v>428</v>
      </c>
    </row>
    <row r="3" spans="1:20" ht="14.1" customHeight="1" x14ac:dyDescent="0.25">
      <c r="A3" s="262"/>
      <c r="B3" s="266"/>
    </row>
    <row r="4" spans="1:20" s="268" customFormat="1" ht="14.1" customHeight="1" x14ac:dyDescent="0.25">
      <c r="A4" s="267"/>
      <c r="B4" s="267"/>
      <c r="C4" s="443" t="s">
        <v>429</v>
      </c>
      <c r="D4" s="444"/>
      <c r="E4" s="443" t="s">
        <v>317</v>
      </c>
      <c r="F4" s="444"/>
      <c r="G4" s="443" t="s">
        <v>320</v>
      </c>
      <c r="H4" s="444"/>
      <c r="I4" s="443" t="s">
        <v>319</v>
      </c>
      <c r="J4" s="444"/>
      <c r="K4" s="443" t="s">
        <v>312</v>
      </c>
      <c r="L4" s="444"/>
      <c r="M4" s="443" t="s">
        <v>313</v>
      </c>
      <c r="N4" s="444"/>
      <c r="O4" s="443" t="s">
        <v>357</v>
      </c>
      <c r="P4" s="444"/>
      <c r="Q4" s="443" t="s">
        <v>355</v>
      </c>
      <c r="R4" s="444"/>
      <c r="S4" s="443" t="s">
        <v>361</v>
      </c>
      <c r="T4" s="444"/>
    </row>
    <row r="5" spans="1:20" ht="14.1" customHeight="1" x14ac:dyDescent="0.25">
      <c r="A5" s="262"/>
      <c r="B5" s="263"/>
      <c r="C5" s="269" t="s">
        <v>314</v>
      </c>
      <c r="D5" s="269" t="s">
        <v>315</v>
      </c>
      <c r="E5" s="269" t="s">
        <v>314</v>
      </c>
      <c r="F5" s="269" t="s">
        <v>315</v>
      </c>
      <c r="G5" s="269" t="s">
        <v>314</v>
      </c>
      <c r="H5" s="269" t="s">
        <v>315</v>
      </c>
      <c r="I5" s="269" t="s">
        <v>314</v>
      </c>
      <c r="J5" s="269" t="s">
        <v>315</v>
      </c>
      <c r="K5" s="269" t="s">
        <v>314</v>
      </c>
      <c r="L5" s="269" t="s">
        <v>315</v>
      </c>
      <c r="M5" s="269" t="s">
        <v>314</v>
      </c>
      <c r="N5" s="269" t="s">
        <v>315</v>
      </c>
      <c r="O5" s="269" t="s">
        <v>314</v>
      </c>
      <c r="P5" s="269" t="s">
        <v>315</v>
      </c>
      <c r="Q5" s="269" t="s">
        <v>314</v>
      </c>
      <c r="R5" s="269" t="s">
        <v>315</v>
      </c>
      <c r="S5" s="269" t="s">
        <v>314</v>
      </c>
      <c r="T5" s="269" t="s">
        <v>315</v>
      </c>
    </row>
    <row r="6" spans="1:20" ht="14.1" customHeight="1" x14ac:dyDescent="0.25">
      <c r="A6" s="262"/>
      <c r="B6" s="263"/>
    </row>
    <row r="7" spans="1:20" ht="14.1" customHeight="1" x14ac:dyDescent="0.25">
      <c r="A7" s="270" t="s">
        <v>0</v>
      </c>
      <c r="B7" s="271" t="s">
        <v>1</v>
      </c>
      <c r="C7" s="272">
        <v>40751.15</v>
      </c>
      <c r="D7" s="273">
        <v>28058.85</v>
      </c>
      <c r="E7" s="272">
        <v>36069.599999999999</v>
      </c>
      <c r="F7" s="273">
        <v>0</v>
      </c>
      <c r="G7" s="272">
        <v>432053.99</v>
      </c>
      <c r="H7" s="273">
        <v>191955.7</v>
      </c>
      <c r="I7" s="272">
        <v>70027.100000000006</v>
      </c>
      <c r="J7" s="273">
        <v>0</v>
      </c>
      <c r="K7" s="272">
        <v>69286.899999999994</v>
      </c>
      <c r="L7" s="273">
        <v>0</v>
      </c>
      <c r="M7" s="272">
        <v>20395.8</v>
      </c>
      <c r="N7" s="273">
        <v>0</v>
      </c>
      <c r="O7" s="272">
        <v>47227.6</v>
      </c>
      <c r="P7" s="273">
        <v>0</v>
      </c>
      <c r="Q7" s="272">
        <v>31625.15</v>
      </c>
      <c r="R7" s="272">
        <v>2000</v>
      </c>
      <c r="S7" s="272">
        <v>23058.7</v>
      </c>
      <c r="T7" s="273">
        <v>2000</v>
      </c>
    </row>
    <row r="8" spans="1:20" ht="14.1" customHeight="1" x14ac:dyDescent="0.25">
      <c r="A8" s="274" t="s">
        <v>2</v>
      </c>
      <c r="B8" s="275" t="s">
        <v>3</v>
      </c>
      <c r="C8" s="276">
        <v>46436.7</v>
      </c>
      <c r="D8" s="277">
        <v>9522</v>
      </c>
      <c r="E8" s="276">
        <v>67027.75</v>
      </c>
      <c r="F8" s="277">
        <v>0</v>
      </c>
      <c r="G8" s="276">
        <v>526174.55000000005</v>
      </c>
      <c r="H8" s="277">
        <v>0</v>
      </c>
      <c r="I8" s="276">
        <v>127820.95</v>
      </c>
      <c r="J8" s="277">
        <v>0</v>
      </c>
      <c r="K8" s="276">
        <v>130553.1</v>
      </c>
      <c r="L8" s="277">
        <v>0</v>
      </c>
      <c r="M8" s="276">
        <v>72234.55</v>
      </c>
      <c r="N8" s="277">
        <v>0</v>
      </c>
      <c r="O8" s="276">
        <v>72666.100000000006</v>
      </c>
      <c r="P8" s="277">
        <v>0</v>
      </c>
      <c r="Q8" s="276">
        <v>193816.7</v>
      </c>
      <c r="R8" s="276">
        <v>111951.9</v>
      </c>
      <c r="S8" s="276">
        <v>72891.399999999994</v>
      </c>
      <c r="T8" s="277">
        <v>3251.9</v>
      </c>
    </row>
    <row r="9" spans="1:20" ht="14.1" customHeight="1" x14ac:dyDescent="0.25">
      <c r="A9" s="274">
        <v>2006</v>
      </c>
      <c r="B9" s="275" t="s">
        <v>4</v>
      </c>
      <c r="C9" s="276">
        <v>21069.200000000001</v>
      </c>
      <c r="D9" s="277">
        <v>66</v>
      </c>
      <c r="E9" s="276">
        <v>36551.85</v>
      </c>
      <c r="F9" s="277">
        <v>0</v>
      </c>
      <c r="G9" s="276">
        <v>297382.75</v>
      </c>
      <c r="H9" s="277">
        <v>0</v>
      </c>
      <c r="I9" s="276">
        <v>72780.3</v>
      </c>
      <c r="J9" s="277">
        <v>0</v>
      </c>
      <c r="K9" s="276">
        <v>74087.899999999994</v>
      </c>
      <c r="L9" s="277">
        <v>0</v>
      </c>
      <c r="M9" s="276">
        <v>33022.199999999997</v>
      </c>
      <c r="N9" s="277">
        <v>0</v>
      </c>
      <c r="O9" s="276">
        <v>40196.85</v>
      </c>
      <c r="P9" s="277">
        <v>0</v>
      </c>
      <c r="Q9" s="276">
        <v>43106.45</v>
      </c>
      <c r="R9" s="276">
        <v>22143.200000000001</v>
      </c>
      <c r="S9" s="276">
        <v>35678.25</v>
      </c>
      <c r="T9" s="277">
        <v>22143.200000000001</v>
      </c>
    </row>
    <row r="10" spans="1:20" ht="14.1" customHeight="1" x14ac:dyDescent="0.25">
      <c r="A10" s="274" t="s">
        <v>5</v>
      </c>
      <c r="B10" s="275" t="s">
        <v>6</v>
      </c>
      <c r="C10" s="276">
        <v>61447.95</v>
      </c>
      <c r="D10" s="277">
        <v>45376.85</v>
      </c>
      <c r="E10" s="276">
        <v>35322.550000000003</v>
      </c>
      <c r="F10" s="277">
        <v>0</v>
      </c>
      <c r="G10" s="276">
        <v>243611.15</v>
      </c>
      <c r="H10" s="277">
        <v>0</v>
      </c>
      <c r="I10" s="276">
        <v>65146.25</v>
      </c>
      <c r="J10" s="277">
        <v>0</v>
      </c>
      <c r="K10" s="276">
        <v>65047.199999999997</v>
      </c>
      <c r="L10" s="277">
        <v>0</v>
      </c>
      <c r="M10" s="276">
        <v>24351.85</v>
      </c>
      <c r="N10" s="277">
        <v>0</v>
      </c>
      <c r="O10" s="276">
        <v>39430</v>
      </c>
      <c r="P10" s="277">
        <v>0</v>
      </c>
      <c r="Q10" s="276">
        <v>72775.899999999994</v>
      </c>
      <c r="R10" s="276">
        <v>4222.1000000000004</v>
      </c>
      <c r="S10" s="276">
        <v>68156</v>
      </c>
      <c r="T10" s="277">
        <v>4222.1000000000004</v>
      </c>
    </row>
    <row r="11" spans="1:20" ht="14.1" customHeight="1" x14ac:dyDescent="0.25">
      <c r="A11" s="274" t="s">
        <v>7</v>
      </c>
      <c r="B11" s="275" t="s">
        <v>8</v>
      </c>
      <c r="C11" s="276">
        <v>152859.75</v>
      </c>
      <c r="D11" s="277">
        <v>124273.9</v>
      </c>
      <c r="E11" s="276">
        <v>119589.1</v>
      </c>
      <c r="F11" s="277">
        <v>0</v>
      </c>
      <c r="G11" s="276">
        <v>1028225.05</v>
      </c>
      <c r="H11" s="277">
        <v>67174.850000000006</v>
      </c>
      <c r="I11" s="276">
        <v>229709.75</v>
      </c>
      <c r="J11" s="277">
        <v>0</v>
      </c>
      <c r="K11" s="276">
        <v>231628.35</v>
      </c>
      <c r="L11" s="277">
        <v>0</v>
      </c>
      <c r="M11" s="276">
        <v>113100.1</v>
      </c>
      <c r="N11" s="277">
        <v>0</v>
      </c>
      <c r="O11" s="276">
        <f>56273.45+67259.7</f>
        <v>123533.15</v>
      </c>
      <c r="P11" s="277">
        <v>5221.95</v>
      </c>
      <c r="Q11" s="276">
        <v>3348824.89</v>
      </c>
      <c r="R11" s="276">
        <v>3150212.54</v>
      </c>
      <c r="S11" s="276">
        <v>250815.9</v>
      </c>
      <c r="T11" s="277">
        <v>31394.15</v>
      </c>
    </row>
    <row r="12" spans="1:20" ht="14.1" customHeight="1" x14ac:dyDescent="0.25">
      <c r="A12" s="274" t="s">
        <v>9</v>
      </c>
      <c r="B12" s="275" t="s">
        <v>10</v>
      </c>
      <c r="C12" s="276">
        <v>252276.75</v>
      </c>
      <c r="D12" s="277">
        <v>165075</v>
      </c>
      <c r="E12" s="276">
        <v>144204.70000000001</v>
      </c>
      <c r="F12" s="277">
        <v>0</v>
      </c>
      <c r="G12" s="276">
        <v>1025881.55</v>
      </c>
      <c r="H12" s="277">
        <v>0</v>
      </c>
      <c r="I12" s="276">
        <v>279677.40000000002</v>
      </c>
      <c r="J12" s="277">
        <v>0</v>
      </c>
      <c r="K12" s="276">
        <v>270541.25</v>
      </c>
      <c r="L12" s="277">
        <v>0</v>
      </c>
      <c r="M12" s="276">
        <v>126619.1</v>
      </c>
      <c r="N12" s="277">
        <v>0</v>
      </c>
      <c r="O12" s="276">
        <v>157446.70000000001</v>
      </c>
      <c r="P12" s="277">
        <v>0</v>
      </c>
      <c r="Q12" s="276">
        <v>405931.3</v>
      </c>
      <c r="R12" s="276">
        <v>73139.25</v>
      </c>
      <c r="S12" s="276">
        <v>326208.75</v>
      </c>
      <c r="T12" s="277">
        <v>47144.25</v>
      </c>
    </row>
    <row r="13" spans="1:20" ht="14.1" customHeight="1" x14ac:dyDescent="0.25">
      <c r="A13" s="274" t="s">
        <v>11</v>
      </c>
      <c r="B13" s="275" t="s">
        <v>12</v>
      </c>
      <c r="C13" s="276">
        <v>245355.4</v>
      </c>
      <c r="D13" s="277">
        <v>152039.45000000001</v>
      </c>
      <c r="E13" s="276">
        <v>272450.95</v>
      </c>
      <c r="F13" s="277">
        <v>0</v>
      </c>
      <c r="G13" s="276">
        <v>2125239.08</v>
      </c>
      <c r="H13" s="277">
        <v>0</v>
      </c>
      <c r="I13" s="276">
        <v>534155.6</v>
      </c>
      <c r="J13" s="277">
        <v>0</v>
      </c>
      <c r="K13" s="276">
        <v>532951.85</v>
      </c>
      <c r="L13" s="277">
        <v>0</v>
      </c>
      <c r="M13" s="276">
        <v>278738</v>
      </c>
      <c r="N13" s="277">
        <v>0</v>
      </c>
      <c r="O13" s="276">
        <v>346434.15</v>
      </c>
      <c r="P13" s="277">
        <v>0</v>
      </c>
      <c r="Q13" s="276">
        <v>925111.2</v>
      </c>
      <c r="R13" s="276">
        <v>142725.6</v>
      </c>
      <c r="S13" s="276">
        <v>757326</v>
      </c>
      <c r="T13" s="277">
        <v>93585.600000000006</v>
      </c>
    </row>
    <row r="14" spans="1:20" ht="14.1" customHeight="1" x14ac:dyDescent="0.25">
      <c r="A14" s="274" t="s">
        <v>13</v>
      </c>
      <c r="B14" s="275" t="s">
        <v>14</v>
      </c>
      <c r="C14" s="276">
        <v>158028.9</v>
      </c>
      <c r="D14" s="277">
        <v>130678.55</v>
      </c>
      <c r="E14" s="276">
        <v>77829.350000000006</v>
      </c>
      <c r="F14" s="277">
        <v>0</v>
      </c>
      <c r="G14" s="276">
        <v>608135.25</v>
      </c>
      <c r="H14" s="277">
        <v>0</v>
      </c>
      <c r="I14" s="276">
        <v>168529.65</v>
      </c>
      <c r="J14" s="277">
        <v>0</v>
      </c>
      <c r="K14" s="276">
        <v>160637</v>
      </c>
      <c r="L14" s="277">
        <v>0</v>
      </c>
      <c r="M14" s="276">
        <v>65202.5</v>
      </c>
      <c r="N14" s="277">
        <v>0</v>
      </c>
      <c r="O14" s="276">
        <v>91428.1</v>
      </c>
      <c r="P14" s="277">
        <v>0</v>
      </c>
      <c r="Q14" s="276">
        <v>195089.8</v>
      </c>
      <c r="R14" s="276">
        <v>37268.85</v>
      </c>
      <c r="S14" s="276">
        <v>167118.54999999999</v>
      </c>
      <c r="T14" s="277">
        <v>37268.85</v>
      </c>
    </row>
    <row r="15" spans="1:20" ht="14.1" customHeight="1" x14ac:dyDescent="0.25">
      <c r="A15" s="274" t="s">
        <v>15</v>
      </c>
      <c r="B15" s="275" t="s">
        <v>16</v>
      </c>
      <c r="C15" s="276">
        <v>1836604.71</v>
      </c>
      <c r="D15" s="277">
        <v>1456166.33</v>
      </c>
      <c r="E15" s="276">
        <v>597042.25</v>
      </c>
      <c r="F15" s="277">
        <v>13263</v>
      </c>
      <c r="G15" s="276">
        <f>4283429.55+295653.86</f>
        <v>4579083.41</v>
      </c>
      <c r="H15" s="277">
        <f>45650.56+213241.75</f>
        <v>258892.31</v>
      </c>
      <c r="I15" s="276">
        <v>1104320.25</v>
      </c>
      <c r="J15" s="277">
        <v>0</v>
      </c>
      <c r="K15" s="276">
        <v>1109559.7</v>
      </c>
      <c r="L15" s="277">
        <v>0</v>
      </c>
      <c r="M15" s="276">
        <v>514817.45</v>
      </c>
      <c r="N15" s="277">
        <v>0</v>
      </c>
      <c r="O15" s="276">
        <v>675919.05</v>
      </c>
      <c r="P15" s="277">
        <v>22447.95</v>
      </c>
      <c r="Q15" s="276">
        <v>2359448.61</v>
      </c>
      <c r="R15" s="276">
        <v>432814.25</v>
      </c>
      <c r="S15" s="276">
        <v>2117607.81</v>
      </c>
      <c r="T15" s="277">
        <v>432814.25</v>
      </c>
    </row>
    <row r="16" spans="1:20" ht="14.1" customHeight="1" x14ac:dyDescent="0.25">
      <c r="A16" s="274" t="s">
        <v>17</v>
      </c>
      <c r="B16" s="275" t="s">
        <v>18</v>
      </c>
      <c r="C16" s="276">
        <v>40227.75</v>
      </c>
      <c r="D16" s="277">
        <v>18140.2</v>
      </c>
      <c r="E16" s="276">
        <v>89714.75</v>
      </c>
      <c r="F16" s="277">
        <v>2346.85</v>
      </c>
      <c r="G16" s="276">
        <v>625712.1</v>
      </c>
      <c r="H16" s="277">
        <v>23517.25</v>
      </c>
      <c r="I16" s="276">
        <v>164471.85</v>
      </c>
      <c r="J16" s="277">
        <v>0</v>
      </c>
      <c r="K16" s="276">
        <v>157437.45000000001</v>
      </c>
      <c r="L16" s="277">
        <v>0</v>
      </c>
      <c r="M16" s="276">
        <v>76336.05</v>
      </c>
      <c r="N16" s="277">
        <v>0</v>
      </c>
      <c r="O16" s="276">
        <v>91746.45</v>
      </c>
      <c r="P16" s="277">
        <v>0</v>
      </c>
      <c r="Q16" s="276">
        <v>148944.54999999999</v>
      </c>
      <c r="R16" s="276">
        <v>49160.95</v>
      </c>
      <c r="S16" s="276">
        <v>131386.95000000001</v>
      </c>
      <c r="T16" s="277">
        <v>49160.95</v>
      </c>
    </row>
    <row r="17" spans="1:20" ht="14.1" customHeight="1" x14ac:dyDescent="0.25">
      <c r="A17" s="274" t="s">
        <v>21</v>
      </c>
      <c r="B17" s="275" t="s">
        <v>22</v>
      </c>
      <c r="C17" s="276">
        <v>55859.5</v>
      </c>
      <c r="D17" s="277">
        <f>146544.95-121500</f>
        <v>25044.950000000012</v>
      </c>
      <c r="E17" s="276">
        <v>80757.649999999994</v>
      </c>
      <c r="F17" s="277">
        <v>0</v>
      </c>
      <c r="G17" s="276">
        <v>688410.5</v>
      </c>
      <c r="H17" s="277">
        <v>51419.199999999997</v>
      </c>
      <c r="I17" s="276">
        <v>160654.25</v>
      </c>
      <c r="J17" s="277">
        <v>0</v>
      </c>
      <c r="K17" s="276">
        <v>196713.4</v>
      </c>
      <c r="L17" s="277">
        <v>0</v>
      </c>
      <c r="M17" s="276">
        <v>71112.45</v>
      </c>
      <c r="N17" s="277">
        <v>0</v>
      </c>
      <c r="O17" s="276">
        <v>61409.55</v>
      </c>
      <c r="P17" s="277">
        <v>0</v>
      </c>
      <c r="Q17" s="276">
        <v>631365.6</v>
      </c>
      <c r="R17" s="276">
        <v>578294.85</v>
      </c>
      <c r="S17" s="276">
        <v>108014.5</v>
      </c>
      <c r="T17" s="277">
        <v>0</v>
      </c>
    </row>
    <row r="18" spans="1:20" ht="14.1" customHeight="1" x14ac:dyDescent="0.25">
      <c r="A18" s="274" t="s">
        <v>23</v>
      </c>
      <c r="B18" s="275" t="s">
        <v>24</v>
      </c>
      <c r="C18" s="276">
        <v>56895</v>
      </c>
      <c r="D18" s="277">
        <v>929</v>
      </c>
      <c r="E18" s="276">
        <v>74508.800000000003</v>
      </c>
      <c r="F18" s="277">
        <v>7249.65</v>
      </c>
      <c r="G18" s="276">
        <f>457188.95+37510.1</f>
        <v>494699.05</v>
      </c>
      <c r="H18" s="277">
        <v>598.54999999999995</v>
      </c>
      <c r="I18" s="276">
        <v>112317.75</v>
      </c>
      <c r="J18" s="277">
        <v>0</v>
      </c>
      <c r="K18" s="276">
        <v>114643.4</v>
      </c>
      <c r="L18" s="277">
        <v>0</v>
      </c>
      <c r="M18" s="276">
        <v>49877.65</v>
      </c>
      <c r="N18" s="277">
        <v>0</v>
      </c>
      <c r="O18" s="276">
        <v>64677.8</v>
      </c>
      <c r="P18" s="277">
        <v>0</v>
      </c>
      <c r="Q18" s="276">
        <v>118538.4</v>
      </c>
      <c r="R18" s="276">
        <v>13716.2</v>
      </c>
      <c r="S18" s="276">
        <v>102187.2</v>
      </c>
      <c r="T18" s="277">
        <v>13716.2</v>
      </c>
    </row>
    <row r="19" spans="1:20" ht="14.1" customHeight="1" x14ac:dyDescent="0.25">
      <c r="A19" s="274" t="s">
        <v>25</v>
      </c>
      <c r="B19" s="275" t="s">
        <v>26</v>
      </c>
      <c r="C19" s="276">
        <v>54433.75</v>
      </c>
      <c r="D19" s="277">
        <v>31545.49</v>
      </c>
      <c r="E19" s="276">
        <v>96828.6</v>
      </c>
      <c r="F19" s="277">
        <v>0</v>
      </c>
      <c r="G19" s="276">
        <v>793160.85</v>
      </c>
      <c r="H19" s="277">
        <v>0</v>
      </c>
      <c r="I19" s="276">
        <v>201235.5</v>
      </c>
      <c r="J19" s="277">
        <v>0</v>
      </c>
      <c r="K19" s="276">
        <v>187371.7</v>
      </c>
      <c r="L19" s="277">
        <v>0</v>
      </c>
      <c r="M19" s="276">
        <v>56487.5</v>
      </c>
      <c r="N19" s="277">
        <v>0</v>
      </c>
      <c r="O19" s="276">
        <v>129771.85</v>
      </c>
      <c r="P19" s="277">
        <v>0</v>
      </c>
      <c r="Q19" s="276">
        <v>167784.85</v>
      </c>
      <c r="R19" s="276">
        <v>366.95</v>
      </c>
      <c r="S19" s="276">
        <v>167784.85</v>
      </c>
      <c r="T19" s="277">
        <v>366.95</v>
      </c>
    </row>
    <row r="20" spans="1:20" ht="14.1" customHeight="1" x14ac:dyDescent="0.25">
      <c r="A20" s="274" t="s">
        <v>27</v>
      </c>
      <c r="B20" s="275" t="s">
        <v>28</v>
      </c>
      <c r="C20" s="276">
        <v>10407.6</v>
      </c>
      <c r="D20" s="277">
        <v>8069.65</v>
      </c>
      <c r="E20" s="276">
        <v>36005.5</v>
      </c>
      <c r="F20" s="277">
        <v>0</v>
      </c>
      <c r="G20" s="276">
        <f>267339.65+1883</f>
        <v>269222.65000000002</v>
      </c>
      <c r="H20" s="277">
        <v>1887.5</v>
      </c>
      <c r="I20" s="276">
        <v>63801.05</v>
      </c>
      <c r="J20" s="277">
        <v>0</v>
      </c>
      <c r="K20" s="276">
        <v>61754.9</v>
      </c>
      <c r="L20" s="277">
        <v>0</v>
      </c>
      <c r="M20" s="276">
        <v>26526.7</v>
      </c>
      <c r="N20" s="277">
        <v>0</v>
      </c>
      <c r="O20" s="276">
        <v>41962.5</v>
      </c>
      <c r="P20" s="277">
        <v>0</v>
      </c>
      <c r="Q20" s="276">
        <v>49136.4</v>
      </c>
      <c r="R20" s="276">
        <v>2935.65</v>
      </c>
      <c r="S20" s="276">
        <v>42043.199999999997</v>
      </c>
      <c r="T20" s="277">
        <v>2935.65</v>
      </c>
    </row>
    <row r="21" spans="1:20" ht="14.1" customHeight="1" x14ac:dyDescent="0.25">
      <c r="A21" s="274" t="s">
        <v>29</v>
      </c>
      <c r="B21" s="275" t="s">
        <v>30</v>
      </c>
      <c r="C21" s="276">
        <v>121030.3</v>
      </c>
      <c r="D21" s="277">
        <v>60456.28</v>
      </c>
      <c r="E21" s="276">
        <v>226051.6</v>
      </c>
      <c r="F21" s="277">
        <v>7255.95</v>
      </c>
      <c r="G21" s="276">
        <v>1574010.45</v>
      </c>
      <c r="H21" s="277">
        <v>83742.899999999994</v>
      </c>
      <c r="I21" s="276">
        <v>385012.8</v>
      </c>
      <c r="J21" s="277">
        <v>0</v>
      </c>
      <c r="K21" s="276">
        <f>320425.5+67970.65</f>
        <v>388396.15</v>
      </c>
      <c r="L21" s="277">
        <v>0</v>
      </c>
      <c r="M21" s="276">
        <v>153901.29999999999</v>
      </c>
      <c r="N21" s="277">
        <v>0</v>
      </c>
      <c r="O21" s="276">
        <v>228662.75</v>
      </c>
      <c r="P21" s="277">
        <v>0</v>
      </c>
      <c r="Q21" s="276">
        <v>581275</v>
      </c>
      <c r="R21" s="276">
        <v>191269.57</v>
      </c>
      <c r="S21" s="276">
        <v>510423.1</v>
      </c>
      <c r="T21" s="277">
        <v>168126.65</v>
      </c>
    </row>
    <row r="22" spans="1:20" ht="14.1" customHeight="1" x14ac:dyDescent="0.25">
      <c r="A22" s="274" t="s">
        <v>32</v>
      </c>
      <c r="B22" s="275" t="s">
        <v>33</v>
      </c>
      <c r="C22" s="276">
        <v>17663.099999999999</v>
      </c>
      <c r="D22" s="277">
        <v>800</v>
      </c>
      <c r="E22" s="276">
        <v>13694.85</v>
      </c>
      <c r="F22" s="277">
        <v>0</v>
      </c>
      <c r="G22" s="276">
        <v>108030.85</v>
      </c>
      <c r="H22" s="277">
        <v>0</v>
      </c>
      <c r="I22" s="276">
        <v>26334.400000000001</v>
      </c>
      <c r="J22" s="277">
        <v>0</v>
      </c>
      <c r="K22" s="276">
        <v>24715.9</v>
      </c>
      <c r="L22" s="277">
        <v>0</v>
      </c>
      <c r="M22" s="276">
        <v>11063.6</v>
      </c>
      <c r="N22" s="277">
        <v>0</v>
      </c>
      <c r="O22" s="276">
        <v>15491.95</v>
      </c>
      <c r="P22" s="277">
        <v>0</v>
      </c>
      <c r="Q22" s="276">
        <v>9530.15</v>
      </c>
      <c r="R22" s="276">
        <v>0</v>
      </c>
      <c r="S22" s="276">
        <v>6858.35</v>
      </c>
      <c r="T22" s="277">
        <v>0</v>
      </c>
    </row>
    <row r="23" spans="1:20" ht="14.1" customHeight="1" x14ac:dyDescent="0.25">
      <c r="A23" s="274" t="s">
        <v>34</v>
      </c>
      <c r="B23" s="275" t="s">
        <v>35</v>
      </c>
      <c r="C23" s="276">
        <v>43749.599999999999</v>
      </c>
      <c r="D23" s="277">
        <v>17925.650000000001</v>
      </c>
      <c r="E23" s="276">
        <v>56322.65</v>
      </c>
      <c r="F23" s="277">
        <v>0</v>
      </c>
      <c r="G23" s="276">
        <v>420265.4</v>
      </c>
      <c r="H23" s="277">
        <v>0</v>
      </c>
      <c r="I23" s="276">
        <v>109470.95</v>
      </c>
      <c r="J23" s="277">
        <v>0</v>
      </c>
      <c r="K23" s="276">
        <v>106709.85</v>
      </c>
      <c r="L23" s="277">
        <v>0</v>
      </c>
      <c r="M23" s="276">
        <v>55719.85</v>
      </c>
      <c r="N23" s="277">
        <v>0</v>
      </c>
      <c r="O23" s="276">
        <v>67895.55</v>
      </c>
      <c r="P23" s="277">
        <v>0</v>
      </c>
      <c r="Q23" s="276">
        <v>83508.350000000006</v>
      </c>
      <c r="R23" s="276">
        <v>0</v>
      </c>
      <c r="S23" s="276">
        <v>75170.55</v>
      </c>
      <c r="T23" s="277">
        <v>0</v>
      </c>
    </row>
    <row r="24" spans="1:20" ht="14.1" customHeight="1" x14ac:dyDescent="0.25">
      <c r="A24" s="274" t="s">
        <v>36</v>
      </c>
      <c r="B24" s="275" t="s">
        <v>37</v>
      </c>
      <c r="C24" s="276">
        <v>39513.85</v>
      </c>
      <c r="D24" s="277">
        <v>9385.75</v>
      </c>
      <c r="E24" s="276">
        <v>36262.5</v>
      </c>
      <c r="F24" s="277">
        <v>0</v>
      </c>
      <c r="G24" s="276">
        <v>263016.55</v>
      </c>
      <c r="H24" s="277">
        <v>0</v>
      </c>
      <c r="I24" s="276">
        <v>73435.75</v>
      </c>
      <c r="J24" s="277">
        <v>0</v>
      </c>
      <c r="K24" s="276">
        <v>69564.649999999994</v>
      </c>
      <c r="L24" s="277">
        <v>0</v>
      </c>
      <c r="M24" s="276">
        <v>27780.25</v>
      </c>
      <c r="N24" s="277">
        <v>0</v>
      </c>
      <c r="O24" s="276">
        <v>40314.400000000001</v>
      </c>
      <c r="P24" s="277">
        <v>0</v>
      </c>
      <c r="Q24" s="276">
        <v>70235.600000000006</v>
      </c>
      <c r="R24" s="276">
        <v>0</v>
      </c>
      <c r="S24" s="276">
        <v>64076.5</v>
      </c>
      <c r="T24" s="277">
        <v>0</v>
      </c>
    </row>
    <row r="25" spans="1:20" ht="14.1" customHeight="1" x14ac:dyDescent="0.25">
      <c r="A25" s="274" t="s">
        <v>38</v>
      </c>
      <c r="B25" s="275" t="s">
        <v>39</v>
      </c>
      <c r="C25" s="276">
        <v>2374.6999999999998</v>
      </c>
      <c r="D25" s="277">
        <v>1717.4</v>
      </c>
      <c r="E25" s="276">
        <v>6222.3</v>
      </c>
      <c r="F25" s="277">
        <v>0</v>
      </c>
      <c r="G25" s="276">
        <f>32180.6+15138.4</f>
        <v>47319</v>
      </c>
      <c r="H25" s="277">
        <v>0</v>
      </c>
      <c r="I25" s="276">
        <v>12833.75</v>
      </c>
      <c r="J25" s="277">
        <v>0</v>
      </c>
      <c r="K25" s="276">
        <f>11684.1+4901.4</f>
        <v>16585.5</v>
      </c>
      <c r="L25" s="277">
        <v>0</v>
      </c>
      <c r="M25" s="276">
        <v>4767.8500000000004</v>
      </c>
      <c r="N25" s="277">
        <v>0</v>
      </c>
      <c r="O25" s="276">
        <v>1799.4</v>
      </c>
      <c r="P25" s="277">
        <v>0</v>
      </c>
      <c r="Q25" s="276">
        <v>5029.25</v>
      </c>
      <c r="R25" s="276">
        <v>140</v>
      </c>
      <c r="S25" s="276">
        <v>3739.15</v>
      </c>
      <c r="T25" s="277">
        <v>140</v>
      </c>
    </row>
    <row r="26" spans="1:20" ht="14.1" customHeight="1" x14ac:dyDescent="0.25">
      <c r="A26" s="274" t="s">
        <v>40</v>
      </c>
      <c r="B26" s="275" t="s">
        <v>41</v>
      </c>
      <c r="C26" s="276">
        <v>47339.85</v>
      </c>
      <c r="D26" s="277">
        <v>27198.400000000001</v>
      </c>
      <c r="E26" s="276">
        <v>33658.65</v>
      </c>
      <c r="F26" s="277">
        <v>0</v>
      </c>
      <c r="G26" s="276">
        <v>265145.3</v>
      </c>
      <c r="H26" s="277">
        <v>0</v>
      </c>
      <c r="I26" s="276">
        <v>64239.7</v>
      </c>
      <c r="J26" s="277">
        <v>0</v>
      </c>
      <c r="K26" s="276">
        <v>65353.65</v>
      </c>
      <c r="L26" s="277">
        <v>0</v>
      </c>
      <c r="M26" s="276">
        <v>33812.199999999997</v>
      </c>
      <c r="N26" s="277">
        <v>0</v>
      </c>
      <c r="O26" s="276">
        <v>36734.1</v>
      </c>
      <c r="P26" s="277">
        <v>0</v>
      </c>
      <c r="Q26" s="276">
        <v>48583</v>
      </c>
      <c r="R26" s="276">
        <v>5939.1</v>
      </c>
      <c r="S26" s="276">
        <v>41629.9</v>
      </c>
      <c r="T26" s="277">
        <v>5939.1</v>
      </c>
    </row>
    <row r="27" spans="1:20" ht="14.1" customHeight="1" x14ac:dyDescent="0.25">
      <c r="A27" s="274" t="s">
        <v>42</v>
      </c>
      <c r="B27" s="275" t="s">
        <v>43</v>
      </c>
      <c r="C27" s="276">
        <v>15108.85</v>
      </c>
      <c r="D27" s="277">
        <v>5234.8500000000004</v>
      </c>
      <c r="E27" s="276">
        <v>20445.8</v>
      </c>
      <c r="F27" s="277">
        <v>0</v>
      </c>
      <c r="G27" s="276">
        <v>153080.5</v>
      </c>
      <c r="H27" s="277">
        <v>0</v>
      </c>
      <c r="I27" s="276">
        <v>37609.35</v>
      </c>
      <c r="J27" s="277">
        <v>0</v>
      </c>
      <c r="K27" s="276">
        <v>38287.300000000003</v>
      </c>
      <c r="L27" s="277">
        <v>0</v>
      </c>
      <c r="M27" s="276">
        <v>16239.5</v>
      </c>
      <c r="N27" s="277">
        <v>0</v>
      </c>
      <c r="O27" s="276">
        <v>21005.65</v>
      </c>
      <c r="P27" s="277">
        <v>0</v>
      </c>
      <c r="Q27" s="276">
        <v>35588.550000000003</v>
      </c>
      <c r="R27" s="276">
        <v>3618.55</v>
      </c>
      <c r="S27" s="276">
        <v>32991.25</v>
      </c>
      <c r="T27" s="277">
        <v>3618.55</v>
      </c>
    </row>
    <row r="28" spans="1:20" ht="14.1" customHeight="1" x14ac:dyDescent="0.25">
      <c r="A28" s="274" t="s">
        <v>44</v>
      </c>
      <c r="B28" s="275" t="s">
        <v>45</v>
      </c>
      <c r="C28" s="276">
        <v>153741</v>
      </c>
      <c r="D28" s="277">
        <v>109326.65</v>
      </c>
      <c r="E28" s="276">
        <v>147586.04999999999</v>
      </c>
      <c r="F28" s="277">
        <v>0</v>
      </c>
      <c r="G28" s="276">
        <v>1028423.85</v>
      </c>
      <c r="H28" s="277">
        <v>14905</v>
      </c>
      <c r="I28" s="276">
        <v>289346.90000000002</v>
      </c>
      <c r="J28" s="277">
        <v>0</v>
      </c>
      <c r="K28" s="276">
        <v>276163.05</v>
      </c>
      <c r="L28" s="277">
        <v>0</v>
      </c>
      <c r="M28" s="276">
        <v>154480.4</v>
      </c>
      <c r="N28" s="277">
        <v>0</v>
      </c>
      <c r="O28" s="276">
        <v>180130.65</v>
      </c>
      <c r="P28" s="277">
        <v>0</v>
      </c>
      <c r="Q28" s="276">
        <v>248190.7</v>
      </c>
      <c r="R28" s="276">
        <v>39430</v>
      </c>
      <c r="S28" s="276">
        <v>217728.3</v>
      </c>
      <c r="T28" s="277">
        <v>39430</v>
      </c>
    </row>
    <row r="29" spans="1:20" ht="14.1" customHeight="1" x14ac:dyDescent="0.25">
      <c r="A29" s="274" t="s">
        <v>46</v>
      </c>
      <c r="B29" s="275" t="s">
        <v>47</v>
      </c>
      <c r="C29" s="276">
        <v>16705.25</v>
      </c>
      <c r="D29" s="277">
        <v>2994.95</v>
      </c>
      <c r="E29" s="276">
        <v>24764.2</v>
      </c>
      <c r="F29" s="277">
        <v>0</v>
      </c>
      <c r="G29" s="276">
        <v>204816.5</v>
      </c>
      <c r="H29" s="277">
        <v>0</v>
      </c>
      <c r="I29" s="276">
        <v>47157.4</v>
      </c>
      <c r="J29" s="277">
        <v>0</v>
      </c>
      <c r="K29" s="276">
        <v>46370.45</v>
      </c>
      <c r="L29" s="277">
        <v>0</v>
      </c>
      <c r="M29" s="276">
        <v>22555.45</v>
      </c>
      <c r="N29" s="277">
        <v>0</v>
      </c>
      <c r="O29" s="276">
        <v>25970.35</v>
      </c>
      <c r="P29" s="277">
        <v>0</v>
      </c>
      <c r="Q29" s="276">
        <v>42405.7</v>
      </c>
      <c r="R29" s="276">
        <v>1819.3</v>
      </c>
      <c r="S29" s="276">
        <v>1584.7</v>
      </c>
      <c r="T29" s="277">
        <v>0</v>
      </c>
    </row>
    <row r="30" spans="1:20" ht="14.1" customHeight="1" x14ac:dyDescent="0.25">
      <c r="A30" s="274" t="s">
        <v>48</v>
      </c>
      <c r="B30" s="275" t="s">
        <v>49</v>
      </c>
      <c r="C30" s="276">
        <v>28130.799999999999</v>
      </c>
      <c r="D30" s="277">
        <v>8105.85</v>
      </c>
      <c r="E30" s="276">
        <v>29415.1</v>
      </c>
      <c r="F30" s="277">
        <v>0</v>
      </c>
      <c r="G30" s="276">
        <v>208467.3</v>
      </c>
      <c r="H30" s="277">
        <v>151</v>
      </c>
      <c r="I30" s="276">
        <v>55513.4</v>
      </c>
      <c r="J30" s="277">
        <v>0</v>
      </c>
      <c r="K30" s="276">
        <v>43081.65</v>
      </c>
      <c r="L30" s="277">
        <v>0</v>
      </c>
      <c r="M30" s="276">
        <v>26999.599999999999</v>
      </c>
      <c r="N30" s="277">
        <v>0</v>
      </c>
      <c r="O30" s="276">
        <v>6853.4</v>
      </c>
      <c r="P30" s="277">
        <v>0</v>
      </c>
      <c r="Q30" s="276">
        <v>34632.85</v>
      </c>
      <c r="R30" s="276">
        <v>39.200000000000003</v>
      </c>
      <c r="S30" s="276">
        <v>29774.25</v>
      </c>
      <c r="T30" s="277">
        <v>39.200000000000003</v>
      </c>
    </row>
    <row r="31" spans="1:20" ht="14.1" customHeight="1" x14ac:dyDescent="0.25">
      <c r="A31" s="274" t="s">
        <v>50</v>
      </c>
      <c r="B31" s="275" t="s">
        <v>51</v>
      </c>
      <c r="C31" s="276">
        <v>21743.85</v>
      </c>
      <c r="D31" s="277">
        <f>26501.35</f>
        <v>26501.35</v>
      </c>
      <c r="E31" s="276">
        <v>31189.05</v>
      </c>
      <c r="F31" s="277">
        <v>0</v>
      </c>
      <c r="G31" s="276">
        <v>232423.5</v>
      </c>
      <c r="H31" s="277">
        <v>0</v>
      </c>
      <c r="I31" s="276">
        <v>63723.4</v>
      </c>
      <c r="J31" s="277">
        <v>0</v>
      </c>
      <c r="K31" s="276">
        <v>62569.75</v>
      </c>
      <c r="L31" s="277">
        <v>0</v>
      </c>
      <c r="M31" s="276">
        <v>34323.15</v>
      </c>
      <c r="N31" s="277">
        <v>0</v>
      </c>
      <c r="O31" s="276">
        <v>32839.449999999997</v>
      </c>
      <c r="P31" s="277">
        <v>0</v>
      </c>
      <c r="Q31" s="276">
        <v>41413.65</v>
      </c>
      <c r="R31" s="276">
        <v>32263.200000000001</v>
      </c>
      <c r="S31" s="276">
        <v>35000.75</v>
      </c>
      <c r="T31" s="277">
        <v>32263.200000000001</v>
      </c>
    </row>
    <row r="32" spans="1:20" ht="14.1" customHeight="1" x14ac:dyDescent="0.25">
      <c r="A32" s="274" t="s">
        <v>52</v>
      </c>
      <c r="B32" s="275" t="s">
        <v>53</v>
      </c>
      <c r="C32" s="276">
        <v>25531.599999999999</v>
      </c>
      <c r="D32" s="277">
        <v>5743.3</v>
      </c>
      <c r="E32" s="276">
        <v>31054.6</v>
      </c>
      <c r="F32" s="277">
        <v>0</v>
      </c>
      <c r="G32" s="276">
        <v>243288.15</v>
      </c>
      <c r="H32" s="277">
        <v>32408.65</v>
      </c>
      <c r="I32" s="276">
        <v>65843.350000000006</v>
      </c>
      <c r="J32" s="277">
        <v>0</v>
      </c>
      <c r="K32" s="276">
        <v>61718.55</v>
      </c>
      <c r="L32" s="277">
        <v>0</v>
      </c>
      <c r="M32" s="276">
        <v>20288.849999999999</v>
      </c>
      <c r="N32" s="277">
        <v>0</v>
      </c>
      <c r="O32" s="276">
        <v>37421</v>
      </c>
      <c r="P32" s="277">
        <v>0</v>
      </c>
      <c r="Q32" s="276">
        <v>33630.199999999997</v>
      </c>
      <c r="R32" s="276">
        <v>0</v>
      </c>
      <c r="S32" s="276">
        <v>26621.200000000001</v>
      </c>
      <c r="T32" s="277">
        <v>0</v>
      </c>
    </row>
    <row r="33" spans="1:20" ht="14.1" customHeight="1" x14ac:dyDescent="0.25">
      <c r="A33" s="274" t="s">
        <v>54</v>
      </c>
      <c r="B33" s="275" t="s">
        <v>55</v>
      </c>
      <c r="C33" s="276">
        <v>5877.75</v>
      </c>
      <c r="D33" s="277">
        <v>3713.45</v>
      </c>
      <c r="E33" s="276">
        <v>19674.3</v>
      </c>
      <c r="F33" s="277">
        <v>0</v>
      </c>
      <c r="G33" s="276">
        <v>193229.25</v>
      </c>
      <c r="H33" s="277">
        <v>0</v>
      </c>
      <c r="I33" s="276">
        <v>31900.55</v>
      </c>
      <c r="J33" s="277">
        <v>0</v>
      </c>
      <c r="K33" s="276">
        <v>40775.300000000003</v>
      </c>
      <c r="L33" s="277">
        <v>0</v>
      </c>
      <c r="M33" s="276">
        <v>16194.4</v>
      </c>
      <c r="N33" s="277">
        <v>0</v>
      </c>
      <c r="O33" s="276">
        <v>21893.25</v>
      </c>
      <c r="P33" s="277">
        <v>0</v>
      </c>
      <c r="Q33" s="276">
        <v>36504.1</v>
      </c>
      <c r="R33" s="276">
        <v>5239.8</v>
      </c>
      <c r="S33" s="276">
        <v>32321.3</v>
      </c>
      <c r="T33" s="277">
        <v>5239.8</v>
      </c>
    </row>
    <row r="34" spans="1:20" ht="14.1" customHeight="1" x14ac:dyDescent="0.25">
      <c r="A34" s="274">
        <v>2050</v>
      </c>
      <c r="B34" s="275" t="s">
        <v>31</v>
      </c>
      <c r="C34" s="276">
        <v>78320.75</v>
      </c>
      <c r="D34" s="277">
        <v>39336.85</v>
      </c>
      <c r="E34" s="276">
        <v>128751.25</v>
      </c>
      <c r="F34" s="277">
        <v>0</v>
      </c>
      <c r="G34" s="276">
        <v>935171.2</v>
      </c>
      <c r="H34" s="277">
        <v>5000</v>
      </c>
      <c r="I34" s="276">
        <v>243152.75</v>
      </c>
      <c r="J34" s="277">
        <v>0</v>
      </c>
      <c r="K34" s="276">
        <v>241140.85</v>
      </c>
      <c r="L34" s="277">
        <v>0</v>
      </c>
      <c r="M34" s="276">
        <v>134762.20000000001</v>
      </c>
      <c r="N34" s="277">
        <v>0</v>
      </c>
      <c r="O34" s="276">
        <v>149046.04999999999</v>
      </c>
      <c r="P34" s="277">
        <v>0</v>
      </c>
      <c r="Q34" s="276">
        <v>241593.85</v>
      </c>
      <c r="R34" s="276">
        <v>13353.95</v>
      </c>
      <c r="S34" s="276">
        <v>218500.35</v>
      </c>
      <c r="T34" s="277">
        <v>13353.95</v>
      </c>
    </row>
    <row r="35" spans="1:20" ht="14.1" customHeight="1" x14ac:dyDescent="0.25">
      <c r="A35" s="274">
        <v>2051</v>
      </c>
      <c r="B35" s="275" t="s">
        <v>310</v>
      </c>
      <c r="C35" s="276">
        <v>134653.04999999999</v>
      </c>
      <c r="D35" s="277">
        <v>58624.75</v>
      </c>
      <c r="E35" s="276">
        <v>102753.95</v>
      </c>
      <c r="F35" s="277">
        <v>12333.4</v>
      </c>
      <c r="G35" s="276">
        <v>659113.69999999995</v>
      </c>
      <c r="H35" s="277">
        <v>0</v>
      </c>
      <c r="I35" s="276">
        <v>167131.75</v>
      </c>
      <c r="J35" s="277">
        <v>0</v>
      </c>
      <c r="K35" s="276">
        <v>177950.85</v>
      </c>
      <c r="L35" s="277">
        <v>0</v>
      </c>
      <c r="M35" s="276">
        <v>91859.45</v>
      </c>
      <c r="N35" s="277">
        <v>0</v>
      </c>
      <c r="O35" s="276">
        <v>106969.75</v>
      </c>
      <c r="P35" s="277">
        <v>6147.8</v>
      </c>
      <c r="Q35" s="276">
        <v>2143090.65</v>
      </c>
      <c r="R35" s="276">
        <v>2265056.63</v>
      </c>
      <c r="S35" s="276">
        <v>644841.65</v>
      </c>
      <c r="T35" s="277">
        <v>128235.2</v>
      </c>
    </row>
    <row r="36" spans="1:20" ht="13.5" customHeight="1" x14ac:dyDescent="0.25">
      <c r="A36" s="278">
        <v>2052</v>
      </c>
      <c r="B36" s="279" t="s">
        <v>311</v>
      </c>
      <c r="C36" s="280">
        <v>99724.43</v>
      </c>
      <c r="D36" s="281">
        <v>23045.3</v>
      </c>
      <c r="E36" s="280">
        <v>100493.4</v>
      </c>
      <c r="F36" s="281">
        <v>0</v>
      </c>
      <c r="G36" s="280">
        <v>865020.7</v>
      </c>
      <c r="H36" s="281">
        <v>139113</v>
      </c>
      <c r="I36" s="280">
        <v>199095.9</v>
      </c>
      <c r="J36" s="281">
        <v>0</v>
      </c>
      <c r="K36" s="280">
        <v>190981.15</v>
      </c>
      <c r="L36" s="281">
        <v>0</v>
      </c>
      <c r="M36" s="280">
        <v>74976.5</v>
      </c>
      <c r="N36" s="281">
        <v>0</v>
      </c>
      <c r="O36" s="280">
        <v>109826.9</v>
      </c>
      <c r="P36" s="281">
        <v>2400</v>
      </c>
      <c r="Q36" s="280">
        <v>151889.54999999999</v>
      </c>
      <c r="R36" s="280">
        <v>0</v>
      </c>
      <c r="S36" s="280">
        <v>136573.85</v>
      </c>
      <c r="T36" s="281">
        <v>0</v>
      </c>
    </row>
    <row r="37" spans="1:20" ht="14.1" customHeight="1" x14ac:dyDescent="0.25">
      <c r="A37" s="274" t="s">
        <v>56</v>
      </c>
      <c r="B37" s="275" t="s">
        <v>57</v>
      </c>
      <c r="C37" s="276">
        <v>17806.2</v>
      </c>
      <c r="D37" s="277">
        <v>10715.15</v>
      </c>
      <c r="E37" s="276">
        <v>25075</v>
      </c>
      <c r="F37" s="277">
        <v>0</v>
      </c>
      <c r="G37" s="276">
        <v>238453.15</v>
      </c>
      <c r="H37" s="277">
        <v>6050</v>
      </c>
      <c r="I37" s="276">
        <v>47692.5</v>
      </c>
      <c r="J37" s="277">
        <v>0</v>
      </c>
      <c r="K37" s="276">
        <v>56319.6</v>
      </c>
      <c r="L37" s="277">
        <v>0</v>
      </c>
      <c r="M37" s="276">
        <v>34519.85</v>
      </c>
      <c r="N37" s="277">
        <v>0</v>
      </c>
      <c r="O37" s="276">
        <v>32862.1</v>
      </c>
      <c r="P37" s="277">
        <v>0</v>
      </c>
      <c r="Q37" s="276">
        <v>40681.75</v>
      </c>
      <c r="R37" s="276">
        <v>4996.1000000000004</v>
      </c>
      <c r="S37" s="276">
        <v>33613.85</v>
      </c>
      <c r="T37" s="277">
        <v>4996.1000000000004</v>
      </c>
    </row>
    <row r="38" spans="1:20" ht="14.1" customHeight="1" x14ac:dyDescent="0.25">
      <c r="A38" s="274" t="s">
        <v>58</v>
      </c>
      <c r="B38" s="275" t="s">
        <v>59</v>
      </c>
      <c r="C38" s="276">
        <v>26865.15</v>
      </c>
      <c r="D38" s="277">
        <v>12761.95</v>
      </c>
      <c r="E38" s="276">
        <v>88241.9</v>
      </c>
      <c r="F38" s="277">
        <v>0</v>
      </c>
      <c r="G38" s="276">
        <v>563499.5</v>
      </c>
      <c r="H38" s="277">
        <v>13627.95</v>
      </c>
      <c r="I38" s="276">
        <v>109605.05</v>
      </c>
      <c r="J38" s="277">
        <v>0</v>
      </c>
      <c r="K38" s="276">
        <v>129255.25</v>
      </c>
      <c r="L38" s="277">
        <v>0</v>
      </c>
      <c r="M38" s="276">
        <v>58360.15</v>
      </c>
      <c r="N38" s="277">
        <v>0</v>
      </c>
      <c r="O38" s="276">
        <v>57442.25</v>
      </c>
      <c r="P38" s="277">
        <v>1724</v>
      </c>
      <c r="Q38" s="276">
        <v>129519.4</v>
      </c>
      <c r="R38" s="276">
        <v>4800</v>
      </c>
      <c r="S38" s="276">
        <v>80827.100000000006</v>
      </c>
      <c r="T38" s="277">
        <v>4800</v>
      </c>
    </row>
    <row r="39" spans="1:20" ht="14.1" customHeight="1" x14ac:dyDescent="0.25">
      <c r="A39" s="274">
        <v>2064</v>
      </c>
      <c r="B39" s="275" t="s">
        <v>60</v>
      </c>
      <c r="C39" s="276">
        <v>17981.900000000001</v>
      </c>
      <c r="D39" s="277">
        <v>9490.25</v>
      </c>
      <c r="E39" s="276">
        <v>25075</v>
      </c>
      <c r="F39" s="277">
        <v>0</v>
      </c>
      <c r="G39" s="276">
        <v>210367.6</v>
      </c>
      <c r="H39" s="277">
        <v>5900</v>
      </c>
      <c r="I39" s="276">
        <v>44175.85</v>
      </c>
      <c r="J39" s="277">
        <v>0</v>
      </c>
      <c r="K39" s="276">
        <v>52880.4</v>
      </c>
      <c r="L39" s="277">
        <v>0</v>
      </c>
      <c r="M39" s="276">
        <v>31594</v>
      </c>
      <c r="N39" s="277">
        <v>0</v>
      </c>
      <c r="O39" s="276">
        <v>29893.05</v>
      </c>
      <c r="P39" s="277">
        <v>0</v>
      </c>
      <c r="Q39" s="276">
        <v>37715.75</v>
      </c>
      <c r="R39" s="276">
        <v>537.9</v>
      </c>
      <c r="S39" s="276">
        <v>28395.45</v>
      </c>
      <c r="T39" s="277">
        <v>537.9</v>
      </c>
    </row>
    <row r="40" spans="1:20" ht="14.1" customHeight="1" x14ac:dyDescent="0.25">
      <c r="A40" s="274" t="s">
        <v>61</v>
      </c>
      <c r="B40" s="275" t="s">
        <v>62</v>
      </c>
      <c r="C40" s="276">
        <v>17451.7</v>
      </c>
      <c r="D40" s="277">
        <v>8643.2000000000007</v>
      </c>
      <c r="E40" s="276">
        <v>34622.949999999997</v>
      </c>
      <c r="F40" s="277">
        <v>0</v>
      </c>
      <c r="G40" s="276">
        <v>270841.59999999998</v>
      </c>
      <c r="H40" s="277">
        <v>2630</v>
      </c>
      <c r="I40" s="276">
        <v>60903.3</v>
      </c>
      <c r="J40" s="277">
        <v>0</v>
      </c>
      <c r="K40" s="276">
        <v>71443.25</v>
      </c>
      <c r="L40" s="277">
        <v>0</v>
      </c>
      <c r="M40" s="276">
        <v>35133.300000000003</v>
      </c>
      <c r="N40" s="277">
        <v>0</v>
      </c>
      <c r="O40" s="276">
        <v>31923.65</v>
      </c>
      <c r="P40" s="277">
        <v>0</v>
      </c>
      <c r="Q40" s="276">
        <v>102126.5</v>
      </c>
      <c r="R40" s="276">
        <v>0</v>
      </c>
      <c r="S40" s="276">
        <v>95782.7</v>
      </c>
      <c r="T40" s="277">
        <v>0</v>
      </c>
    </row>
    <row r="41" spans="1:20" ht="14.1" customHeight="1" x14ac:dyDescent="0.25">
      <c r="A41" s="274" t="s">
        <v>63</v>
      </c>
      <c r="B41" s="275" t="s">
        <v>64</v>
      </c>
      <c r="C41" s="276">
        <v>36777.699999999997</v>
      </c>
      <c r="D41" s="277">
        <v>23383.75</v>
      </c>
      <c r="E41" s="276">
        <v>72525.05</v>
      </c>
      <c r="F41" s="277">
        <v>0</v>
      </c>
      <c r="G41" s="276">
        <v>605682.85</v>
      </c>
      <c r="H41" s="277">
        <v>24790.75</v>
      </c>
      <c r="I41" s="276">
        <v>1256660.6000000001</v>
      </c>
      <c r="J41" s="277">
        <v>0</v>
      </c>
      <c r="K41" s="276">
        <f>147001.1+2212.1</f>
        <v>149213.20000000001</v>
      </c>
      <c r="L41" s="277">
        <v>0</v>
      </c>
      <c r="M41" s="276">
        <v>68915.350000000006</v>
      </c>
      <c r="N41" s="277">
        <v>0</v>
      </c>
      <c r="O41" s="276">
        <v>60095.85</v>
      </c>
      <c r="P41" s="277">
        <v>0</v>
      </c>
      <c r="Q41" s="276">
        <v>57875</v>
      </c>
      <c r="R41" s="276">
        <v>751.75</v>
      </c>
      <c r="S41" s="276">
        <v>37777.699999999997</v>
      </c>
      <c r="T41" s="277">
        <v>751.75</v>
      </c>
    </row>
    <row r="42" spans="1:20" ht="14.1" customHeight="1" x14ac:dyDescent="0.25">
      <c r="A42" s="274" t="s">
        <v>65</v>
      </c>
      <c r="B42" s="275" t="s">
        <v>66</v>
      </c>
      <c r="C42" s="276">
        <v>18885.650000000001</v>
      </c>
      <c r="D42" s="277">
        <v>10611.4</v>
      </c>
      <c r="E42" s="276">
        <v>27871.95</v>
      </c>
      <c r="F42" s="277">
        <v>0</v>
      </c>
      <c r="G42" s="276">
        <v>244444.85</v>
      </c>
      <c r="H42" s="277">
        <v>4390</v>
      </c>
      <c r="I42" s="276">
        <v>50105.2</v>
      </c>
      <c r="J42" s="277">
        <v>0</v>
      </c>
      <c r="K42" s="276">
        <v>59323</v>
      </c>
      <c r="L42" s="277">
        <v>0</v>
      </c>
      <c r="M42" s="276">
        <v>26375</v>
      </c>
      <c r="N42" s="277">
        <v>0</v>
      </c>
      <c r="O42" s="276">
        <v>38536.400000000001</v>
      </c>
      <c r="P42" s="277">
        <v>0</v>
      </c>
      <c r="Q42" s="276">
        <v>30911.75</v>
      </c>
      <c r="R42" s="276">
        <v>2000</v>
      </c>
      <c r="S42" s="276">
        <v>18637.25</v>
      </c>
      <c r="T42" s="277">
        <v>2000</v>
      </c>
    </row>
    <row r="43" spans="1:20" ht="14.1" customHeight="1" x14ac:dyDescent="0.25">
      <c r="A43" s="274" t="s">
        <v>67</v>
      </c>
      <c r="B43" s="275" t="s">
        <v>68</v>
      </c>
      <c r="C43" s="276">
        <v>28695.55</v>
      </c>
      <c r="D43" s="277">
        <v>6587.5</v>
      </c>
      <c r="E43" s="276">
        <v>18034.8</v>
      </c>
      <c r="F43" s="277">
        <v>0</v>
      </c>
      <c r="G43" s="276">
        <v>144277.54999999999</v>
      </c>
      <c r="H43" s="277">
        <v>2430</v>
      </c>
      <c r="I43" s="276">
        <v>31715.85</v>
      </c>
      <c r="J43" s="277">
        <v>0</v>
      </c>
      <c r="K43" s="276">
        <v>37585.9</v>
      </c>
      <c r="L43" s="277">
        <v>0</v>
      </c>
      <c r="M43" s="276">
        <v>20584.05</v>
      </c>
      <c r="N43" s="277">
        <v>0</v>
      </c>
      <c r="O43" s="276">
        <v>15803.5</v>
      </c>
      <c r="P43" s="277">
        <v>0</v>
      </c>
      <c r="Q43" s="276">
        <v>35575.85</v>
      </c>
      <c r="R43" s="276">
        <v>630.70000000000005</v>
      </c>
      <c r="S43" s="276">
        <v>32216.95</v>
      </c>
      <c r="T43" s="277">
        <v>630.70000000000005</v>
      </c>
    </row>
    <row r="44" spans="1:20" ht="14.1" customHeight="1" x14ac:dyDescent="0.25">
      <c r="A44" s="274" t="s">
        <v>69</v>
      </c>
      <c r="B44" s="275" t="s">
        <v>70</v>
      </c>
      <c r="C44" s="276">
        <v>37329.25</v>
      </c>
      <c r="D44" s="277">
        <v>18566.25</v>
      </c>
      <c r="E44" s="276">
        <v>42327.6</v>
      </c>
      <c r="F44" s="277">
        <v>0</v>
      </c>
      <c r="G44" s="276">
        <v>335600.15</v>
      </c>
      <c r="H44" s="277">
        <v>19161.150000000001</v>
      </c>
      <c r="I44" s="276">
        <v>74173.399999999994</v>
      </c>
      <c r="J44" s="277">
        <v>0</v>
      </c>
      <c r="K44" s="276">
        <v>87162.75</v>
      </c>
      <c r="L44" s="277">
        <v>0</v>
      </c>
      <c r="M44" s="276">
        <v>42377.85</v>
      </c>
      <c r="N44" s="277">
        <v>0</v>
      </c>
      <c r="O44" s="276">
        <v>46894.1</v>
      </c>
      <c r="P44" s="277">
        <v>5386</v>
      </c>
      <c r="Q44" s="276">
        <v>45601.75</v>
      </c>
      <c r="R44" s="276">
        <v>46.7</v>
      </c>
      <c r="S44" s="276">
        <v>38475.25</v>
      </c>
      <c r="T44" s="277">
        <v>46.7</v>
      </c>
    </row>
    <row r="45" spans="1:20" ht="14.1" customHeight="1" x14ac:dyDescent="0.25">
      <c r="A45" s="274" t="s">
        <v>71</v>
      </c>
      <c r="B45" s="275" t="s">
        <v>72</v>
      </c>
      <c r="C45" s="276">
        <v>31607.4</v>
      </c>
      <c r="D45" s="277">
        <v>15550.25</v>
      </c>
      <c r="E45" s="276">
        <v>98178.8</v>
      </c>
      <c r="F45" s="277">
        <v>0</v>
      </c>
      <c r="G45" s="276">
        <v>832087.25</v>
      </c>
      <c r="H45" s="277">
        <v>3160.95</v>
      </c>
      <c r="I45" s="276">
        <v>165543.70000000001</v>
      </c>
      <c r="J45" s="277">
        <v>0</v>
      </c>
      <c r="K45" s="276">
        <v>195133.5</v>
      </c>
      <c r="L45" s="277">
        <v>0</v>
      </c>
      <c r="M45" s="276">
        <v>86737.25</v>
      </c>
      <c r="N45" s="277">
        <v>0</v>
      </c>
      <c r="O45" s="276">
        <v>91431.4</v>
      </c>
      <c r="P45" s="277">
        <v>6043.1</v>
      </c>
      <c r="Q45" s="276">
        <v>159120.95000000001</v>
      </c>
      <c r="R45" s="276">
        <v>24771.65</v>
      </c>
      <c r="S45" s="276">
        <v>119344.65</v>
      </c>
      <c r="T45" s="277">
        <v>24771.65</v>
      </c>
    </row>
    <row r="46" spans="1:20" ht="14.1" customHeight="1" x14ac:dyDescent="0.25">
      <c r="A46" s="274" t="s">
        <v>73</v>
      </c>
      <c r="B46" s="275" t="s">
        <v>74</v>
      </c>
      <c r="C46" s="276">
        <v>21969.35</v>
      </c>
      <c r="D46" s="277">
        <v>7353.1</v>
      </c>
      <c r="E46" s="276">
        <v>35090.949999999997</v>
      </c>
      <c r="F46" s="277">
        <v>0</v>
      </c>
      <c r="G46" s="276">
        <f>285094.65+12916.15</f>
        <v>298010.80000000005</v>
      </c>
      <c r="H46" s="277">
        <v>29833.8</v>
      </c>
      <c r="I46" s="276">
        <v>61418.6</v>
      </c>
      <c r="J46" s="277">
        <v>0</v>
      </c>
      <c r="K46" s="276">
        <v>73192.45</v>
      </c>
      <c r="L46" s="277">
        <v>0</v>
      </c>
      <c r="M46" s="276">
        <v>41563.4</v>
      </c>
      <c r="N46" s="277">
        <v>0</v>
      </c>
      <c r="O46" s="276">
        <v>46790.6</v>
      </c>
      <c r="P46" s="277">
        <v>0</v>
      </c>
      <c r="Q46" s="276">
        <v>31759.200000000001</v>
      </c>
      <c r="R46" s="276">
        <v>807.8</v>
      </c>
      <c r="S46" s="276">
        <v>25473</v>
      </c>
      <c r="T46" s="277">
        <v>807.8</v>
      </c>
    </row>
    <row r="47" spans="1:20" ht="14.1" customHeight="1" x14ac:dyDescent="0.25">
      <c r="A47" s="274" t="s">
        <v>75</v>
      </c>
      <c r="B47" s="275" t="s">
        <v>76</v>
      </c>
      <c r="C47" s="276">
        <v>798481.7</v>
      </c>
      <c r="D47" s="277">
        <v>640269.35</v>
      </c>
      <c r="E47" s="276">
        <v>460397.15</v>
      </c>
      <c r="F47" s="277">
        <v>25475.65</v>
      </c>
      <c r="G47" s="276">
        <v>4682556.0999999996</v>
      </c>
      <c r="H47" s="277">
        <v>142826.35</v>
      </c>
      <c r="I47" s="276">
        <v>907887.55</v>
      </c>
      <c r="J47" s="277">
        <v>0</v>
      </c>
      <c r="K47" s="276">
        <v>971652.25</v>
      </c>
      <c r="L47" s="277">
        <v>0</v>
      </c>
      <c r="M47" s="276">
        <v>550455.9</v>
      </c>
      <c r="N47" s="277">
        <v>0</v>
      </c>
      <c r="O47" s="276">
        <v>2314732.5499999998</v>
      </c>
      <c r="P47" s="277">
        <v>1695080.33</v>
      </c>
      <c r="Q47" s="276">
        <v>1744152.2</v>
      </c>
      <c r="R47" s="276">
        <v>150111.04999999999</v>
      </c>
      <c r="S47" s="276">
        <v>1354710.9</v>
      </c>
      <c r="T47" s="277">
        <v>150111.04999999999</v>
      </c>
    </row>
    <row r="48" spans="1:20" ht="14.1" customHeight="1" x14ac:dyDescent="0.25">
      <c r="A48" s="274" t="s">
        <v>77</v>
      </c>
      <c r="B48" s="275" t="s">
        <v>78</v>
      </c>
      <c r="C48" s="276">
        <v>89487.55</v>
      </c>
      <c r="D48" s="277">
        <v>60628.5</v>
      </c>
      <c r="E48" s="276">
        <v>122000.2</v>
      </c>
      <c r="F48" s="277">
        <v>0</v>
      </c>
      <c r="G48" s="276">
        <v>1019884.45</v>
      </c>
      <c r="H48" s="277">
        <v>31110.15</v>
      </c>
      <c r="I48" s="276">
        <v>223669.75</v>
      </c>
      <c r="J48" s="277">
        <v>0</v>
      </c>
      <c r="K48" s="276">
        <v>261036.6</v>
      </c>
      <c r="L48" s="277">
        <v>0</v>
      </c>
      <c r="M48" s="276">
        <v>135867.6</v>
      </c>
      <c r="N48" s="277">
        <v>0</v>
      </c>
      <c r="O48" s="276">
        <v>873334.55</v>
      </c>
      <c r="P48" s="277">
        <v>721153.05</v>
      </c>
      <c r="Q48" s="276">
        <v>242919.7</v>
      </c>
      <c r="R48" s="276">
        <v>0</v>
      </c>
      <c r="S48" s="276">
        <v>199043.4</v>
      </c>
      <c r="T48" s="277">
        <v>0</v>
      </c>
    </row>
    <row r="49" spans="1:20" ht="14.1" customHeight="1" x14ac:dyDescent="0.25">
      <c r="A49" s="274" t="s">
        <v>79</v>
      </c>
      <c r="B49" s="275" t="s">
        <v>80</v>
      </c>
      <c r="C49" s="276">
        <v>167120.20000000001</v>
      </c>
      <c r="D49" s="277">
        <v>48085.95</v>
      </c>
      <c r="E49" s="276">
        <v>204844.55</v>
      </c>
      <c r="F49" s="277">
        <v>0</v>
      </c>
      <c r="G49" s="276">
        <v>2432112.88</v>
      </c>
      <c r="H49" s="277">
        <v>39177</v>
      </c>
      <c r="I49" s="276">
        <v>301676.05</v>
      </c>
      <c r="J49" s="277">
        <v>0</v>
      </c>
      <c r="K49" s="276">
        <v>533131.9</v>
      </c>
      <c r="L49" s="277">
        <v>0</v>
      </c>
      <c r="M49" s="276">
        <v>410400.55</v>
      </c>
      <c r="N49" s="277">
        <v>0</v>
      </c>
      <c r="O49" s="276">
        <v>214285.35</v>
      </c>
      <c r="P49" s="277">
        <v>23641.599999999999</v>
      </c>
      <c r="Q49" s="276">
        <v>359978.82</v>
      </c>
      <c r="R49" s="276">
        <v>25522</v>
      </c>
      <c r="S49" s="276">
        <v>274091.12</v>
      </c>
      <c r="T49" s="277">
        <v>1622</v>
      </c>
    </row>
    <row r="50" spans="1:20" ht="14.1" customHeight="1" x14ac:dyDescent="0.25">
      <c r="A50" s="274" t="s">
        <v>82</v>
      </c>
      <c r="B50" s="275" t="s">
        <v>83</v>
      </c>
      <c r="C50" s="276">
        <v>427012.9</v>
      </c>
      <c r="D50" s="277">
        <v>314561.09999999998</v>
      </c>
      <c r="E50" s="276">
        <v>247129.7</v>
      </c>
      <c r="F50" s="277">
        <v>0</v>
      </c>
      <c r="G50" s="276">
        <v>2014337.3</v>
      </c>
      <c r="H50" s="277">
        <v>54502.25</v>
      </c>
      <c r="I50" s="276">
        <v>444397.65</v>
      </c>
      <c r="J50" s="277">
        <v>0</v>
      </c>
      <c r="K50" s="276">
        <v>518148.15</v>
      </c>
      <c r="L50" s="277">
        <v>0</v>
      </c>
      <c r="M50" s="276">
        <v>279597.45</v>
      </c>
      <c r="N50" s="277">
        <v>0</v>
      </c>
      <c r="O50" s="276">
        <v>344207.3</v>
      </c>
      <c r="P50" s="277">
        <v>0</v>
      </c>
      <c r="Q50" s="276">
        <v>379883.95</v>
      </c>
      <c r="R50" s="276">
        <v>65322.05</v>
      </c>
      <c r="S50" s="276">
        <v>277968.05</v>
      </c>
      <c r="T50" s="277">
        <v>41102.050000000003</v>
      </c>
    </row>
    <row r="51" spans="1:20" ht="14.1" customHeight="1" x14ac:dyDescent="0.25">
      <c r="A51" s="274" t="s">
        <v>84</v>
      </c>
      <c r="B51" s="275" t="s">
        <v>85</v>
      </c>
      <c r="C51" s="276">
        <v>99481.95</v>
      </c>
      <c r="D51" s="277">
        <v>50584.25</v>
      </c>
      <c r="E51" s="276">
        <v>99239.7</v>
      </c>
      <c r="F51" s="277">
        <v>0</v>
      </c>
      <c r="G51" s="276">
        <v>947043.5</v>
      </c>
      <c r="H51" s="277">
        <v>86628.2</v>
      </c>
      <c r="I51" s="276">
        <v>185428.2</v>
      </c>
      <c r="J51" s="277">
        <v>0</v>
      </c>
      <c r="K51" s="276">
        <f>219784.85+2726.8</f>
        <v>222511.65</v>
      </c>
      <c r="L51" s="277">
        <v>0</v>
      </c>
      <c r="M51" s="276">
        <v>105622.8</v>
      </c>
      <c r="N51" s="277">
        <v>0</v>
      </c>
      <c r="O51" s="276">
        <v>88759.7</v>
      </c>
      <c r="P51" s="277">
        <v>0</v>
      </c>
      <c r="Q51" s="276">
        <v>347556.35</v>
      </c>
      <c r="R51" s="276">
        <v>69405.7</v>
      </c>
      <c r="S51" s="276">
        <v>296799.75</v>
      </c>
      <c r="T51" s="277">
        <v>69405.7</v>
      </c>
    </row>
    <row r="52" spans="1:20" ht="14.1" customHeight="1" x14ac:dyDescent="0.25">
      <c r="A52" s="274" t="s">
        <v>88</v>
      </c>
      <c r="B52" s="275" t="s">
        <v>89</v>
      </c>
      <c r="C52" s="276">
        <v>304897.3</v>
      </c>
      <c r="D52" s="277">
        <v>226668.79999999999</v>
      </c>
      <c r="E52" s="276">
        <v>195200.35</v>
      </c>
      <c r="F52" s="277">
        <v>0</v>
      </c>
      <c r="G52" s="276">
        <f>1582441.65+68317.3</f>
        <v>1650758.95</v>
      </c>
      <c r="H52" s="277">
        <f>893.6+27809.15</f>
        <v>28702.75</v>
      </c>
      <c r="I52" s="276">
        <v>350455.95</v>
      </c>
      <c r="J52" s="277">
        <v>0</v>
      </c>
      <c r="K52" s="276">
        <v>432766.25</v>
      </c>
      <c r="L52" s="277">
        <v>0</v>
      </c>
      <c r="M52" s="276">
        <v>208017.1</v>
      </c>
      <c r="N52" s="277">
        <v>0</v>
      </c>
      <c r="O52" s="276">
        <v>176645.15</v>
      </c>
      <c r="P52" s="277">
        <v>2634.4</v>
      </c>
      <c r="Q52" s="276">
        <v>403424.15</v>
      </c>
      <c r="R52" s="276">
        <v>25317.7</v>
      </c>
      <c r="S52" s="276">
        <v>327327.84999999998</v>
      </c>
      <c r="T52" s="277">
        <v>2812.7</v>
      </c>
    </row>
    <row r="53" spans="1:20" ht="14.1" customHeight="1" x14ac:dyDescent="0.25">
      <c r="A53" s="274">
        <v>2114</v>
      </c>
      <c r="B53" s="275" t="s">
        <v>90</v>
      </c>
      <c r="C53" s="276">
        <v>115264.25</v>
      </c>
      <c r="D53" s="277">
        <v>86636.25</v>
      </c>
      <c r="E53" s="276">
        <v>122964.6</v>
      </c>
      <c r="F53" s="277">
        <v>0</v>
      </c>
      <c r="G53" s="276">
        <v>949864.7</v>
      </c>
      <c r="H53" s="277">
        <v>6800</v>
      </c>
      <c r="I53" s="276">
        <v>216006.45</v>
      </c>
      <c r="J53" s="277">
        <v>0</v>
      </c>
      <c r="K53" s="276">
        <v>254161.5</v>
      </c>
      <c r="L53" s="277">
        <v>0</v>
      </c>
      <c r="M53" s="276">
        <v>129034.25</v>
      </c>
      <c r="N53" s="277">
        <v>0</v>
      </c>
      <c r="O53" s="276">
        <v>112412.5</v>
      </c>
      <c r="P53" s="277">
        <v>113.9</v>
      </c>
      <c r="Q53" s="276">
        <v>312167.75</v>
      </c>
      <c r="R53" s="276">
        <v>16490</v>
      </c>
      <c r="S53" s="276">
        <v>260150.55</v>
      </c>
      <c r="T53" s="277">
        <v>0</v>
      </c>
    </row>
    <row r="54" spans="1:20" ht="14.1" customHeight="1" x14ac:dyDescent="0.25">
      <c r="A54" s="274">
        <v>2115</v>
      </c>
      <c r="B54" s="275" t="s">
        <v>81</v>
      </c>
      <c r="C54" s="276">
        <v>142273.95000000001</v>
      </c>
      <c r="D54" s="277">
        <v>118394.7</v>
      </c>
      <c r="E54" s="276">
        <v>78600.899999999994</v>
      </c>
      <c r="F54" s="277">
        <v>0</v>
      </c>
      <c r="G54" s="276">
        <v>748240.19</v>
      </c>
      <c r="H54" s="277">
        <v>102638.62</v>
      </c>
      <c r="I54" s="276">
        <v>141738.79999999999</v>
      </c>
      <c r="J54" s="277">
        <v>0</v>
      </c>
      <c r="K54" s="276">
        <v>154298.95000000001</v>
      </c>
      <c r="L54" s="277">
        <v>0</v>
      </c>
      <c r="M54" s="276">
        <v>90008.1</v>
      </c>
      <c r="N54" s="277">
        <v>0</v>
      </c>
      <c r="O54" s="276">
        <v>71139.399999999994</v>
      </c>
      <c r="P54" s="277">
        <v>104.4</v>
      </c>
      <c r="Q54" s="276">
        <v>136329.03</v>
      </c>
      <c r="R54" s="276">
        <v>22579.8</v>
      </c>
      <c r="S54" s="276">
        <v>94722.03</v>
      </c>
      <c r="T54" s="277">
        <v>64.8</v>
      </c>
    </row>
    <row r="55" spans="1:20" ht="14.1" customHeight="1" x14ac:dyDescent="0.25">
      <c r="A55" s="278">
        <v>2116</v>
      </c>
      <c r="B55" s="279" t="s">
        <v>307</v>
      </c>
      <c r="C55" s="280">
        <v>117263.15</v>
      </c>
      <c r="D55" s="281">
        <f>118397.9-43040.35</f>
        <v>75357.549999999988</v>
      </c>
      <c r="E55" s="280">
        <v>85062.45</v>
      </c>
      <c r="F55" s="281">
        <v>0</v>
      </c>
      <c r="G55" s="280">
        <v>701597.3</v>
      </c>
      <c r="H55" s="281">
        <v>250</v>
      </c>
      <c r="I55" s="280">
        <v>150252.45000000001</v>
      </c>
      <c r="J55" s="281">
        <v>0</v>
      </c>
      <c r="K55" s="280">
        <v>177978.05</v>
      </c>
      <c r="L55" s="281">
        <v>0</v>
      </c>
      <c r="M55" s="280">
        <v>96589.5</v>
      </c>
      <c r="N55" s="281">
        <v>0</v>
      </c>
      <c r="O55" s="280">
        <v>104872.7</v>
      </c>
      <c r="P55" s="281">
        <v>0</v>
      </c>
      <c r="Q55" s="280">
        <v>150322.35</v>
      </c>
      <c r="R55" s="280">
        <v>0</v>
      </c>
      <c r="S55" s="280">
        <v>129266.15</v>
      </c>
      <c r="T55" s="281">
        <v>0</v>
      </c>
    </row>
    <row r="56" spans="1:20" ht="14.1" customHeight="1" x14ac:dyDescent="0.25">
      <c r="A56" s="274" t="s">
        <v>91</v>
      </c>
      <c r="B56" s="275" t="s">
        <v>92</v>
      </c>
      <c r="C56" s="276">
        <v>173782.03</v>
      </c>
      <c r="D56" s="277">
        <v>137847.9</v>
      </c>
      <c r="E56" s="276">
        <v>158548.9</v>
      </c>
      <c r="F56" s="277">
        <v>34786</v>
      </c>
      <c r="G56" s="276">
        <v>1072071.92</v>
      </c>
      <c r="H56" s="277">
        <v>107075.45</v>
      </c>
      <c r="I56" s="276">
        <v>228100</v>
      </c>
      <c r="J56" s="277">
        <v>0</v>
      </c>
      <c r="K56" s="276">
        <v>387795.25</v>
      </c>
      <c r="L56" s="277">
        <v>0</v>
      </c>
      <c r="M56" s="276">
        <v>123172</v>
      </c>
      <c r="N56" s="277">
        <v>12724</v>
      </c>
      <c r="O56" s="276">
        <v>203277.3</v>
      </c>
      <c r="P56" s="277">
        <v>13319</v>
      </c>
      <c r="Q56" s="276">
        <v>562211.15</v>
      </c>
      <c r="R56" s="276">
        <v>71726.600000000006</v>
      </c>
      <c r="S56" s="276">
        <v>496017.75</v>
      </c>
      <c r="T56" s="277">
        <v>71726.600000000006</v>
      </c>
    </row>
    <row r="57" spans="1:20" ht="14.1" customHeight="1" x14ac:dyDescent="0.25">
      <c r="A57" s="274">
        <v>2122</v>
      </c>
      <c r="B57" s="275" t="s">
        <v>93</v>
      </c>
      <c r="C57" s="276">
        <v>93458.4</v>
      </c>
      <c r="D57" s="277">
        <v>42058.2</v>
      </c>
      <c r="E57" s="276">
        <v>167955.6</v>
      </c>
      <c r="F57" s="277">
        <v>9020.2999999999993</v>
      </c>
      <c r="G57" s="276">
        <v>1401070.36</v>
      </c>
      <c r="H57" s="277">
        <v>96181.3</v>
      </c>
      <c r="I57" s="276">
        <v>270180.75</v>
      </c>
      <c r="J57" s="277">
        <v>0</v>
      </c>
      <c r="K57" s="276">
        <f>290693.55</f>
        <v>290693.55</v>
      </c>
      <c r="L57" s="277">
        <v>0</v>
      </c>
      <c r="M57" s="276">
        <v>51010.5</v>
      </c>
      <c r="N57" s="277">
        <v>0</v>
      </c>
      <c r="O57" s="276">
        <v>324137.65000000002</v>
      </c>
      <c r="P57" s="277">
        <v>13352.25</v>
      </c>
      <c r="Q57" s="276">
        <v>511359.65</v>
      </c>
      <c r="R57" s="276">
        <v>41752.199999999997</v>
      </c>
      <c r="S57" s="276">
        <v>436681.35</v>
      </c>
      <c r="T57" s="277">
        <v>22352.2</v>
      </c>
    </row>
    <row r="58" spans="1:20" ht="14.1" customHeight="1" x14ac:dyDescent="0.25">
      <c r="A58" s="274" t="s">
        <v>94</v>
      </c>
      <c r="B58" s="275" t="s">
        <v>95</v>
      </c>
      <c r="C58" s="276">
        <v>32890.400000000001</v>
      </c>
      <c r="D58" s="277">
        <v>17020</v>
      </c>
      <c r="E58" s="276">
        <v>47449.9</v>
      </c>
      <c r="F58" s="277">
        <v>0</v>
      </c>
      <c r="G58" s="276">
        <v>447227.3</v>
      </c>
      <c r="H58" s="277">
        <v>16718.150000000001</v>
      </c>
      <c r="I58" s="276">
        <v>80859</v>
      </c>
      <c r="J58" s="277">
        <v>0</v>
      </c>
      <c r="K58" s="276">
        <v>76792.399999999994</v>
      </c>
      <c r="L58" s="277">
        <v>0</v>
      </c>
      <c r="M58" s="276">
        <v>44374</v>
      </c>
      <c r="N58" s="277">
        <v>0</v>
      </c>
      <c r="O58" s="276">
        <v>90798.65</v>
      </c>
      <c r="P58" s="277">
        <v>4125.25</v>
      </c>
      <c r="Q58" s="276">
        <v>146276.4</v>
      </c>
      <c r="R58" s="276">
        <v>3751</v>
      </c>
      <c r="S58" s="276">
        <v>130434.4</v>
      </c>
      <c r="T58" s="277">
        <v>3751</v>
      </c>
    </row>
    <row r="59" spans="1:20" ht="14.1" customHeight="1" x14ac:dyDescent="0.25">
      <c r="A59" s="274" t="s">
        <v>96</v>
      </c>
      <c r="B59" s="275" t="s">
        <v>97</v>
      </c>
      <c r="C59" s="276">
        <v>434513.04</v>
      </c>
      <c r="D59" s="277">
        <v>356973.1</v>
      </c>
      <c r="E59" s="276">
        <v>219696.75</v>
      </c>
      <c r="F59" s="277">
        <v>0</v>
      </c>
      <c r="G59" s="276">
        <f>52170.8+940935.35+5240+474536+127877+42298+25149.35+6109.1+2374.3+25849</f>
        <v>1702538.9000000001</v>
      </c>
      <c r="H59" s="277">
        <v>98513.7</v>
      </c>
      <c r="I59" s="276">
        <v>400613</v>
      </c>
      <c r="J59" s="277">
        <v>0</v>
      </c>
      <c r="K59" s="276">
        <v>536103</v>
      </c>
      <c r="L59" s="277">
        <v>0</v>
      </c>
      <c r="M59" s="276">
        <v>219339</v>
      </c>
      <c r="N59" s="277">
        <v>0</v>
      </c>
      <c r="O59" s="276">
        <v>312906.95</v>
      </c>
      <c r="P59" s="277">
        <v>1000</v>
      </c>
      <c r="Q59" s="276">
        <v>859513.04</v>
      </c>
      <c r="R59" s="276">
        <v>113118.15</v>
      </c>
      <c r="S59" s="276">
        <v>766522.64</v>
      </c>
      <c r="T59" s="277">
        <v>113118.15</v>
      </c>
    </row>
    <row r="60" spans="1:20" ht="14.1" customHeight="1" x14ac:dyDescent="0.25">
      <c r="A60" s="274" t="s">
        <v>98</v>
      </c>
      <c r="B60" s="275" t="s">
        <v>99</v>
      </c>
      <c r="C60" s="276">
        <v>4788313.13</v>
      </c>
      <c r="D60" s="277">
        <v>3790273.83</v>
      </c>
      <c r="E60" s="276">
        <v>1936172.2</v>
      </c>
      <c r="F60" s="277">
        <v>22112.85</v>
      </c>
      <c r="G60" s="276">
        <f>8516712.9+7499027+2018551.55</f>
        <v>18034291.449999999</v>
      </c>
      <c r="H60" s="277">
        <f>180555.35+528366.5</f>
        <v>708921.85</v>
      </c>
      <c r="I60" s="276">
        <v>3373223.9</v>
      </c>
      <c r="J60" s="277">
        <v>0</v>
      </c>
      <c r="K60" s="276">
        <f>4303272.7+17857142.58</f>
        <v>22160415.279999997</v>
      </c>
      <c r="L60" s="277">
        <v>17856967.25</v>
      </c>
      <c r="M60" s="276">
        <v>2460203</v>
      </c>
      <c r="N60" s="277">
        <v>0</v>
      </c>
      <c r="O60" s="276">
        <v>2727490.35</v>
      </c>
      <c r="P60" s="277">
        <v>16093.1</v>
      </c>
      <c r="Q60" s="276">
        <v>13183617.210000001</v>
      </c>
      <c r="R60" s="276">
        <v>7947471.0499999998</v>
      </c>
      <c r="S60" s="276">
        <v>10407205</v>
      </c>
      <c r="T60" s="277">
        <v>7754913.7999999998</v>
      </c>
    </row>
    <row r="61" spans="1:20" ht="14.1" customHeight="1" x14ac:dyDescent="0.25">
      <c r="A61" s="274" t="s">
        <v>100</v>
      </c>
      <c r="B61" s="275" t="s">
        <v>101</v>
      </c>
      <c r="C61" s="276">
        <v>53561.1</v>
      </c>
      <c r="D61" s="277">
        <v>29552.05</v>
      </c>
      <c r="E61" s="276">
        <v>34181.199999999997</v>
      </c>
      <c r="F61" s="277">
        <v>345</v>
      </c>
      <c r="G61" s="276">
        <f>244568.7+3088.95</f>
        <v>247657.65000000002</v>
      </c>
      <c r="H61" s="277">
        <v>770.5</v>
      </c>
      <c r="I61" s="276">
        <v>55467.9</v>
      </c>
      <c r="J61" s="277">
        <v>0</v>
      </c>
      <c r="K61" s="276">
        <v>84260</v>
      </c>
      <c r="L61" s="277">
        <v>0</v>
      </c>
      <c r="M61" s="276">
        <v>29062</v>
      </c>
      <c r="N61" s="277">
        <v>0</v>
      </c>
      <c r="O61" s="276">
        <v>56643.45</v>
      </c>
      <c r="P61" s="277">
        <v>5989.7</v>
      </c>
      <c r="Q61" s="276">
        <v>239236.75</v>
      </c>
      <c r="R61" s="276">
        <v>4488.05</v>
      </c>
      <c r="S61" s="276">
        <v>233114.35</v>
      </c>
      <c r="T61" s="277">
        <v>4488.05</v>
      </c>
    </row>
    <row r="62" spans="1:20" ht="14.1" customHeight="1" x14ac:dyDescent="0.25">
      <c r="A62" s="274" t="s">
        <v>102</v>
      </c>
      <c r="B62" s="275" t="s">
        <v>103</v>
      </c>
      <c r="C62" s="276">
        <v>395674.45</v>
      </c>
      <c r="D62" s="277">
        <v>288872.45</v>
      </c>
      <c r="E62" s="276">
        <v>225040.65</v>
      </c>
      <c r="F62" s="277">
        <v>0</v>
      </c>
      <c r="G62" s="276">
        <f>1487261.65+46258.9</f>
        <v>1533520.5499999998</v>
      </c>
      <c r="H62" s="277">
        <v>26210.95</v>
      </c>
      <c r="I62" s="276">
        <v>319120.05</v>
      </c>
      <c r="J62" s="277">
        <v>0</v>
      </c>
      <c r="K62" s="276">
        <f>296656.4+171780.2</f>
        <v>468436.60000000003</v>
      </c>
      <c r="L62" s="277">
        <v>0</v>
      </c>
      <c r="M62" s="276">
        <v>214568</v>
      </c>
      <c r="N62" s="277">
        <v>0</v>
      </c>
      <c r="O62" s="276">
        <v>266511.65000000002</v>
      </c>
      <c r="P62" s="277">
        <v>24513.599999999999</v>
      </c>
      <c r="Q62" s="276">
        <v>1320675.75</v>
      </c>
      <c r="R62" s="276">
        <v>188154.05</v>
      </c>
      <c r="S62" s="276">
        <v>706336.6</v>
      </c>
      <c r="T62" s="277">
        <v>150701.29999999999</v>
      </c>
    </row>
    <row r="63" spans="1:20" ht="14.1" customHeight="1" x14ac:dyDescent="0.25">
      <c r="A63" s="274" t="s">
        <v>104</v>
      </c>
      <c r="B63" s="275" t="s">
        <v>105</v>
      </c>
      <c r="C63" s="276">
        <v>80460.899999999994</v>
      </c>
      <c r="D63" s="277">
        <v>10204.1</v>
      </c>
      <c r="E63" s="276">
        <v>24022.35</v>
      </c>
      <c r="F63" s="277">
        <v>0</v>
      </c>
      <c r="G63" s="276">
        <v>240958.25</v>
      </c>
      <c r="H63" s="277">
        <v>27974.1</v>
      </c>
      <c r="I63" s="276">
        <v>40386.300000000003</v>
      </c>
      <c r="J63" s="277">
        <v>0</v>
      </c>
      <c r="K63" s="276">
        <f>62755.15+2687</f>
        <v>65442.15</v>
      </c>
      <c r="L63" s="277">
        <v>0</v>
      </c>
      <c r="M63" s="276">
        <v>25840.5</v>
      </c>
      <c r="N63" s="277">
        <v>0</v>
      </c>
      <c r="O63" s="276">
        <v>36448.800000000003</v>
      </c>
      <c r="P63" s="277">
        <v>1944</v>
      </c>
      <c r="Q63" s="276">
        <v>114064.1</v>
      </c>
      <c r="R63" s="276">
        <v>559.29999999999995</v>
      </c>
      <c r="S63" s="276">
        <v>105155.4</v>
      </c>
      <c r="T63" s="277">
        <v>750</v>
      </c>
    </row>
    <row r="64" spans="1:20" ht="14.1" customHeight="1" x14ac:dyDescent="0.25">
      <c r="A64" s="274" t="s">
        <v>106</v>
      </c>
      <c r="B64" s="275" t="s">
        <v>107</v>
      </c>
      <c r="C64" s="276">
        <v>50512.85</v>
      </c>
      <c r="D64" s="277">
        <v>24180</v>
      </c>
      <c r="E64" s="276">
        <v>70885.399999999994</v>
      </c>
      <c r="F64" s="277">
        <v>0</v>
      </c>
      <c r="G64" s="277">
        <v>570802.55000000005</v>
      </c>
      <c r="H64" s="276">
        <v>16687.75</v>
      </c>
      <c r="I64" s="276">
        <v>124347.35</v>
      </c>
      <c r="J64" s="277">
        <v>0</v>
      </c>
      <c r="K64" s="276">
        <f>115341+40378.7</f>
        <v>155719.70000000001</v>
      </c>
      <c r="L64" s="277">
        <v>0</v>
      </c>
      <c r="M64" s="276">
        <v>75498.5</v>
      </c>
      <c r="N64" s="277">
        <v>0</v>
      </c>
      <c r="O64" s="276">
        <v>96141.35</v>
      </c>
      <c r="P64" s="277">
        <v>7958.1</v>
      </c>
      <c r="Q64" s="276">
        <v>232552.05</v>
      </c>
      <c r="R64" s="276">
        <v>98669</v>
      </c>
      <c r="S64" s="276">
        <v>190865.75</v>
      </c>
      <c r="T64" s="277">
        <v>98669</v>
      </c>
    </row>
    <row r="65" spans="1:20" ht="14.1" customHeight="1" x14ac:dyDescent="0.25">
      <c r="A65" s="274" t="s">
        <v>108</v>
      </c>
      <c r="B65" s="275" t="s">
        <v>109</v>
      </c>
      <c r="C65" s="276">
        <v>25580.35</v>
      </c>
      <c r="D65" s="277">
        <v>9542.5</v>
      </c>
      <c r="E65" s="276">
        <f>29271.25+16717.65</f>
        <v>45988.9</v>
      </c>
      <c r="F65" s="277">
        <v>11237.15</v>
      </c>
      <c r="G65" s="276">
        <v>267341.55</v>
      </c>
      <c r="H65" s="277">
        <v>490</v>
      </c>
      <c r="I65" s="276">
        <v>50990.2</v>
      </c>
      <c r="J65" s="277">
        <v>0</v>
      </c>
      <c r="K65" s="276">
        <v>75306.399999999994</v>
      </c>
      <c r="L65" s="277">
        <v>0</v>
      </c>
      <c r="M65" s="276">
        <v>40478.5</v>
      </c>
      <c r="N65" s="277">
        <v>0</v>
      </c>
      <c r="O65" s="276">
        <v>44483.15</v>
      </c>
      <c r="P65" s="277">
        <v>4753.6499999999996</v>
      </c>
      <c r="Q65" s="276">
        <v>178124.4</v>
      </c>
      <c r="R65" s="276">
        <v>1314.8</v>
      </c>
      <c r="S65" s="276">
        <v>167468.85</v>
      </c>
      <c r="T65" s="277">
        <v>1314.8</v>
      </c>
    </row>
    <row r="66" spans="1:20" s="282" customFormat="1" ht="14.1" customHeight="1" x14ac:dyDescent="0.25">
      <c r="A66" s="274" t="s">
        <v>110</v>
      </c>
      <c r="B66" s="275" t="s">
        <v>111</v>
      </c>
      <c r="C66" s="276">
        <v>56000.2</v>
      </c>
      <c r="D66" s="277">
        <v>37930.300000000003</v>
      </c>
      <c r="E66" s="276">
        <v>70789.05</v>
      </c>
      <c r="F66" s="277">
        <v>0</v>
      </c>
      <c r="G66" s="276">
        <v>713812.45</v>
      </c>
      <c r="H66" s="277">
        <v>13595.65</v>
      </c>
      <c r="I66" s="276">
        <v>124952.3</v>
      </c>
      <c r="J66" s="277">
        <v>0</v>
      </c>
      <c r="K66" s="276">
        <f>116864.65+23593.5</f>
        <v>140458.15</v>
      </c>
      <c r="L66" s="277">
        <v>0</v>
      </c>
      <c r="M66" s="276">
        <v>76895</v>
      </c>
      <c r="N66" s="277">
        <v>0</v>
      </c>
      <c r="O66" s="276">
        <v>97941</v>
      </c>
      <c r="P66" s="277">
        <v>270.89999999999998</v>
      </c>
      <c r="Q66" s="276">
        <v>134235.32999999999</v>
      </c>
      <c r="R66" s="276">
        <v>4453.1499999999996</v>
      </c>
      <c r="S66" s="276">
        <v>95447.6</v>
      </c>
      <c r="T66" s="277">
        <v>4316.8</v>
      </c>
    </row>
    <row r="67" spans="1:20" ht="14.1" customHeight="1" x14ac:dyDescent="0.25">
      <c r="A67" s="274" t="s">
        <v>113</v>
      </c>
      <c r="B67" s="275" t="s">
        <v>114</v>
      </c>
      <c r="C67" s="276">
        <v>73726.850000000006</v>
      </c>
      <c r="D67" s="277">
        <v>96881.75</v>
      </c>
      <c r="E67" s="276">
        <f>74617.55</f>
        <v>74617.55</v>
      </c>
      <c r="F67" s="277">
        <v>0</v>
      </c>
      <c r="G67" s="276">
        <v>570798.1</v>
      </c>
      <c r="H67" s="277">
        <v>0</v>
      </c>
      <c r="I67" s="276">
        <v>125944.8</v>
      </c>
      <c r="J67" s="277">
        <v>0</v>
      </c>
      <c r="K67" s="276">
        <f>118540.65+93983.05</f>
        <v>212523.7</v>
      </c>
      <c r="L67" s="277">
        <v>0</v>
      </c>
      <c r="M67" s="276">
        <v>73850</v>
      </c>
      <c r="N67" s="277">
        <v>0</v>
      </c>
      <c r="O67" s="276">
        <v>97586.75</v>
      </c>
      <c r="P67" s="277">
        <v>6378.2</v>
      </c>
      <c r="Q67" s="276">
        <v>253531.7</v>
      </c>
      <c r="R67" s="276">
        <v>67837.3</v>
      </c>
      <c r="S67" s="276">
        <v>231093.8</v>
      </c>
      <c r="T67" s="277">
        <v>67837.3</v>
      </c>
    </row>
    <row r="68" spans="1:20" ht="14.1" customHeight="1" x14ac:dyDescent="0.25">
      <c r="A68" s="274" t="s">
        <v>115</v>
      </c>
      <c r="B68" s="275" t="s">
        <v>116</v>
      </c>
      <c r="C68" s="276">
        <v>359163.75</v>
      </c>
      <c r="D68" s="277">
        <v>275734.96999999997</v>
      </c>
      <c r="E68" s="276">
        <v>180058.7</v>
      </c>
      <c r="F68" s="277">
        <v>0</v>
      </c>
      <c r="G68" s="276">
        <f>1466874.06+19325.2</f>
        <v>1486199.26</v>
      </c>
      <c r="H68" s="277">
        <f>16371.3+29869.6</f>
        <v>46240.899999999994</v>
      </c>
      <c r="I68" s="276">
        <v>327369.2</v>
      </c>
      <c r="J68" s="277">
        <v>0</v>
      </c>
      <c r="K68" s="276">
        <v>409658.75</v>
      </c>
      <c r="L68" s="277">
        <v>5800</v>
      </c>
      <c r="M68" s="276">
        <v>189227.5</v>
      </c>
      <c r="N68" s="277">
        <v>0</v>
      </c>
      <c r="O68" s="276">
        <v>244396.6</v>
      </c>
      <c r="P68" s="277">
        <v>2481.3000000000002</v>
      </c>
      <c r="Q68" s="276">
        <v>764844.75</v>
      </c>
      <c r="R68" s="276">
        <v>40716.300000000003</v>
      </c>
      <c r="S68" s="276">
        <v>624896.1</v>
      </c>
      <c r="T68" s="277">
        <v>40716.300000000003</v>
      </c>
    </row>
    <row r="69" spans="1:20" ht="14.1" customHeight="1" x14ac:dyDescent="0.25">
      <c r="A69" s="274" t="s">
        <v>117</v>
      </c>
      <c r="B69" s="275" t="s">
        <v>118</v>
      </c>
      <c r="C69" s="276">
        <v>130213.75</v>
      </c>
      <c r="D69" s="277">
        <v>120012.55</v>
      </c>
      <c r="E69" s="276">
        <v>69524.399999999994</v>
      </c>
      <c r="F69" s="277">
        <v>2790.5</v>
      </c>
      <c r="G69" s="276">
        <v>510640.35</v>
      </c>
      <c r="H69" s="277">
        <v>64862.75</v>
      </c>
      <c r="I69" s="276">
        <v>93281.9</v>
      </c>
      <c r="J69" s="277">
        <v>0</v>
      </c>
      <c r="K69" s="276">
        <f>85477.25+25277</f>
        <v>110754.25</v>
      </c>
      <c r="L69" s="277">
        <v>0</v>
      </c>
      <c r="M69" s="276">
        <v>52336</v>
      </c>
      <c r="N69" s="277">
        <v>0</v>
      </c>
      <c r="O69" s="276">
        <v>71906.2</v>
      </c>
      <c r="P69" s="277">
        <v>0</v>
      </c>
      <c r="Q69" s="276">
        <v>135055.70000000001</v>
      </c>
      <c r="R69" s="276">
        <v>597.5</v>
      </c>
      <c r="S69" s="276">
        <v>105882.05</v>
      </c>
      <c r="T69" s="277">
        <v>597.5</v>
      </c>
    </row>
    <row r="70" spans="1:20" ht="14.1" customHeight="1" x14ac:dyDescent="0.25">
      <c r="A70" s="274" t="s">
        <v>119</v>
      </c>
      <c r="B70" s="275" t="s">
        <v>120</v>
      </c>
      <c r="C70" s="276">
        <v>115642.8</v>
      </c>
      <c r="D70" s="277">
        <v>28601.45</v>
      </c>
      <c r="E70" s="276">
        <v>65966.899999999994</v>
      </c>
      <c r="F70" s="277">
        <v>0</v>
      </c>
      <c r="G70" s="276">
        <v>449262.75</v>
      </c>
      <c r="H70" s="277">
        <v>16500</v>
      </c>
      <c r="I70" s="276">
        <v>105023.1</v>
      </c>
      <c r="J70" s="277">
        <v>0</v>
      </c>
      <c r="K70" s="276">
        <f>101628.05+55488.75</f>
        <v>157116.79999999999</v>
      </c>
      <c r="L70" s="277">
        <v>0</v>
      </c>
      <c r="M70" s="276">
        <v>50334</v>
      </c>
      <c r="N70" s="277">
        <v>0</v>
      </c>
      <c r="O70" s="276">
        <v>83834.2</v>
      </c>
      <c r="P70" s="277">
        <v>747.1</v>
      </c>
      <c r="Q70" s="276">
        <v>218723.4</v>
      </c>
      <c r="R70" s="276">
        <v>10290.5</v>
      </c>
      <c r="S70" s="276">
        <v>179058.45</v>
      </c>
      <c r="T70" s="277">
        <v>10290.5</v>
      </c>
    </row>
    <row r="71" spans="1:20" ht="14.1" customHeight="1" x14ac:dyDescent="0.25">
      <c r="A71" s="274" t="s">
        <v>121</v>
      </c>
      <c r="B71" s="275" t="s">
        <v>122</v>
      </c>
      <c r="C71" s="276">
        <v>286086.40000000002</v>
      </c>
      <c r="D71" s="277">
        <v>229829.93</v>
      </c>
      <c r="E71" s="276">
        <v>159419.9</v>
      </c>
      <c r="F71" s="277">
        <v>0</v>
      </c>
      <c r="G71" s="276">
        <v>2387092.4300000002</v>
      </c>
      <c r="H71" s="277">
        <v>770466.65</v>
      </c>
      <c r="I71" s="276">
        <v>275967.75</v>
      </c>
      <c r="J71" s="277">
        <v>0</v>
      </c>
      <c r="K71" s="276">
        <v>297289.15000000002</v>
      </c>
      <c r="L71" s="277">
        <v>0</v>
      </c>
      <c r="M71" s="276">
        <v>168869.5</v>
      </c>
      <c r="N71" s="277">
        <v>0</v>
      </c>
      <c r="O71" s="276">
        <v>230335.65</v>
      </c>
      <c r="P71" s="277">
        <v>12279.5</v>
      </c>
      <c r="Q71" s="276">
        <v>279020.55</v>
      </c>
      <c r="R71" s="276">
        <v>28600.25</v>
      </c>
      <c r="S71" s="276">
        <v>192948.25</v>
      </c>
      <c r="T71" s="277">
        <v>4120.25</v>
      </c>
    </row>
    <row r="72" spans="1:20" ht="14.1" customHeight="1" x14ac:dyDescent="0.25">
      <c r="A72" s="274" t="s">
        <v>123</v>
      </c>
      <c r="B72" s="275" t="s">
        <v>124</v>
      </c>
      <c r="C72" s="276">
        <v>53158.3</v>
      </c>
      <c r="D72" s="277">
        <v>16525.400000000001</v>
      </c>
      <c r="E72" s="276">
        <v>84428.75</v>
      </c>
      <c r="F72" s="277">
        <v>33052.25</v>
      </c>
      <c r="G72" s="276">
        <v>587874.25</v>
      </c>
      <c r="H72" s="277">
        <v>85244</v>
      </c>
      <c r="I72" s="276">
        <v>97634.45</v>
      </c>
      <c r="J72" s="277">
        <v>0</v>
      </c>
      <c r="K72" s="276">
        <f>98147.3+1083.75</f>
        <v>99231.05</v>
      </c>
      <c r="L72" s="277">
        <v>0</v>
      </c>
      <c r="M72" s="276">
        <v>61989</v>
      </c>
      <c r="N72" s="277">
        <v>0</v>
      </c>
      <c r="O72" s="276">
        <v>74425.350000000006</v>
      </c>
      <c r="P72" s="277">
        <v>0</v>
      </c>
      <c r="Q72" s="276">
        <v>187153.8</v>
      </c>
      <c r="R72" s="276">
        <v>25307.25</v>
      </c>
      <c r="S72" s="276">
        <v>155961.1</v>
      </c>
      <c r="T72" s="277">
        <v>25307.25</v>
      </c>
    </row>
    <row r="73" spans="1:20" ht="14.1" customHeight="1" x14ac:dyDescent="0.25">
      <c r="A73" s="274" t="s">
        <v>125</v>
      </c>
      <c r="B73" s="275" t="s">
        <v>126</v>
      </c>
      <c r="C73" s="276">
        <v>75471.3</v>
      </c>
      <c r="D73" s="277">
        <v>39606</v>
      </c>
      <c r="E73" s="276">
        <v>114632.65</v>
      </c>
      <c r="F73" s="277">
        <v>2220</v>
      </c>
      <c r="G73" s="276">
        <f>807039.9+62552.25</f>
        <v>869592.15</v>
      </c>
      <c r="H73" s="277">
        <f>16540+47319.15</f>
        <v>63859.15</v>
      </c>
      <c r="I73" s="276">
        <v>178194.25</v>
      </c>
      <c r="J73" s="277">
        <v>0</v>
      </c>
      <c r="K73" s="276">
        <v>202079.45</v>
      </c>
      <c r="L73" s="277">
        <v>0</v>
      </c>
      <c r="M73" s="276">
        <v>105000</v>
      </c>
      <c r="N73" s="277">
        <v>0</v>
      </c>
      <c r="O73" s="276">
        <v>139427.29999999999</v>
      </c>
      <c r="P73" s="277">
        <v>10448.25</v>
      </c>
      <c r="Q73" s="276">
        <v>612082.6</v>
      </c>
      <c r="R73" s="276">
        <v>328278.84999999998</v>
      </c>
      <c r="S73" s="276">
        <v>210357.65</v>
      </c>
      <c r="T73" s="277">
        <v>8645.0499999999993</v>
      </c>
    </row>
    <row r="74" spans="1:20" ht="14.1" customHeight="1" x14ac:dyDescent="0.25">
      <c r="A74" s="274" t="s">
        <v>127</v>
      </c>
      <c r="B74" s="275" t="s">
        <v>128</v>
      </c>
      <c r="C74" s="276">
        <v>25083.15</v>
      </c>
      <c r="D74" s="277">
        <v>9501.6</v>
      </c>
      <c r="E74" s="276">
        <v>56322.65</v>
      </c>
      <c r="F74" s="277">
        <v>0</v>
      </c>
      <c r="G74" s="276">
        <v>441979.1</v>
      </c>
      <c r="H74" s="277">
        <v>0</v>
      </c>
      <c r="I74" s="276">
        <v>96989.5</v>
      </c>
      <c r="J74" s="277">
        <v>0</v>
      </c>
      <c r="K74" s="276">
        <v>136537.1</v>
      </c>
      <c r="L74" s="277">
        <v>0</v>
      </c>
      <c r="M74" s="276">
        <v>57538</v>
      </c>
      <c r="N74" s="277">
        <v>0</v>
      </c>
      <c r="O74" s="276">
        <v>75265.350000000006</v>
      </c>
      <c r="P74" s="277">
        <v>0</v>
      </c>
      <c r="Q74" s="276">
        <v>88492.2</v>
      </c>
      <c r="R74" s="276">
        <v>0</v>
      </c>
      <c r="S74" s="276">
        <v>76935.100000000006</v>
      </c>
      <c r="T74" s="277">
        <v>0</v>
      </c>
    </row>
    <row r="75" spans="1:20" ht="14.1" customHeight="1" x14ac:dyDescent="0.25">
      <c r="A75" s="274" t="s">
        <v>129</v>
      </c>
      <c r="B75" s="275" t="s">
        <v>130</v>
      </c>
      <c r="C75" s="276">
        <v>193775.95</v>
      </c>
      <c r="D75" s="277">
        <v>100506.7</v>
      </c>
      <c r="E75" s="276">
        <v>220298.1</v>
      </c>
      <c r="F75" s="277">
        <v>1944.7</v>
      </c>
      <c r="G75" s="276">
        <v>1179755.1499999999</v>
      </c>
      <c r="H75" s="277">
        <v>33634</v>
      </c>
      <c r="I75" s="276">
        <v>362808.85</v>
      </c>
      <c r="J75" s="277">
        <v>0</v>
      </c>
      <c r="K75" s="276">
        <v>404951.2</v>
      </c>
      <c r="L75" s="277">
        <v>0</v>
      </c>
      <c r="M75" s="276">
        <v>231932</v>
      </c>
      <c r="N75" s="277">
        <v>0</v>
      </c>
      <c r="O75" s="276">
        <v>284783.09999999998</v>
      </c>
      <c r="P75" s="277">
        <v>22535.75</v>
      </c>
      <c r="Q75" s="276">
        <v>944952.45</v>
      </c>
      <c r="R75" s="276">
        <v>280020.75</v>
      </c>
      <c r="S75" s="276">
        <v>694658.3</v>
      </c>
      <c r="T75" s="277">
        <v>226490.75</v>
      </c>
    </row>
    <row r="76" spans="1:20" ht="14.1" customHeight="1" x14ac:dyDescent="0.25">
      <c r="A76" s="274" t="s">
        <v>131</v>
      </c>
      <c r="B76" s="275" t="s">
        <v>132</v>
      </c>
      <c r="C76" s="276">
        <v>140979.54999999999</v>
      </c>
      <c r="D76" s="277">
        <v>101167.05</v>
      </c>
      <c r="E76" s="276">
        <v>146720.35</v>
      </c>
      <c r="F76" s="277">
        <v>0</v>
      </c>
      <c r="G76" s="276">
        <v>1233861.8500000001</v>
      </c>
      <c r="H76" s="277">
        <v>100275.8</v>
      </c>
      <c r="I76" s="276">
        <v>244907.75</v>
      </c>
      <c r="J76" s="277">
        <v>1947.15</v>
      </c>
      <c r="K76" s="276">
        <v>254347.15</v>
      </c>
      <c r="L76" s="277">
        <v>32668.95</v>
      </c>
      <c r="M76" s="276">
        <v>159587</v>
      </c>
      <c r="N76" s="277">
        <v>0</v>
      </c>
      <c r="O76" s="276">
        <v>220077.65</v>
      </c>
      <c r="P76" s="277">
        <v>34117.75</v>
      </c>
      <c r="Q76" s="276">
        <v>521467.8</v>
      </c>
      <c r="R76" s="276">
        <v>115378.1</v>
      </c>
      <c r="S76" s="276">
        <v>447605.6</v>
      </c>
      <c r="T76" s="277">
        <v>91123.1</v>
      </c>
    </row>
    <row r="77" spans="1:20" ht="14.1" customHeight="1" x14ac:dyDescent="0.25">
      <c r="A77" s="274" t="s">
        <v>133</v>
      </c>
      <c r="B77" s="275" t="s">
        <v>134</v>
      </c>
      <c r="C77" s="276">
        <v>68280.25</v>
      </c>
      <c r="D77" s="277">
        <v>53728.35</v>
      </c>
      <c r="E77" s="276">
        <v>138106.20000000001</v>
      </c>
      <c r="F77" s="277">
        <v>0</v>
      </c>
      <c r="G77" s="276">
        <v>1073779.3500000001</v>
      </c>
      <c r="H77" s="277">
        <v>154.30000000000001</v>
      </c>
      <c r="I77" s="276">
        <v>237138.85</v>
      </c>
      <c r="J77" s="277">
        <v>0</v>
      </c>
      <c r="K77" s="276">
        <v>305045.7</v>
      </c>
      <c r="L77" s="277">
        <v>0</v>
      </c>
      <c r="M77" s="276">
        <v>134373</v>
      </c>
      <c r="N77" s="277">
        <v>0</v>
      </c>
      <c r="O77" s="276">
        <v>184546.55</v>
      </c>
      <c r="P77" s="277">
        <v>0</v>
      </c>
      <c r="Q77" s="276">
        <v>405205.94</v>
      </c>
      <c r="R77" s="276">
        <v>72102.53</v>
      </c>
      <c r="S77" s="276">
        <v>368514.64</v>
      </c>
      <c r="T77" s="277">
        <v>72102.53</v>
      </c>
    </row>
    <row r="78" spans="1:20" ht="14.1" customHeight="1" x14ac:dyDescent="0.25">
      <c r="A78" s="274" t="s">
        <v>135</v>
      </c>
      <c r="B78" s="275" t="s">
        <v>136</v>
      </c>
      <c r="C78" s="276">
        <v>142182.15</v>
      </c>
      <c r="D78" s="277">
        <v>58094.15</v>
      </c>
      <c r="E78" s="276">
        <v>94721.3</v>
      </c>
      <c r="F78" s="277">
        <v>1320</v>
      </c>
      <c r="G78" s="276">
        <v>748787.55</v>
      </c>
      <c r="H78" s="277">
        <v>13958.95</v>
      </c>
      <c r="I78" s="276">
        <v>172560.2</v>
      </c>
      <c r="J78" s="277">
        <v>6037.15</v>
      </c>
      <c r="K78" s="276">
        <v>254723.75</v>
      </c>
      <c r="L78" s="277">
        <v>0</v>
      </c>
      <c r="M78" s="276">
        <v>102894.5</v>
      </c>
      <c r="N78" s="277">
        <v>0</v>
      </c>
      <c r="O78" s="276">
        <v>121256.8</v>
      </c>
      <c r="P78" s="277">
        <v>7647.85</v>
      </c>
      <c r="Q78" s="276">
        <v>301023.71000000002</v>
      </c>
      <c r="R78" s="276">
        <v>1713</v>
      </c>
      <c r="S78" s="276">
        <v>275375.40999999997</v>
      </c>
      <c r="T78" s="277">
        <v>1713</v>
      </c>
    </row>
    <row r="79" spans="1:20" ht="14.1" customHeight="1" x14ac:dyDescent="0.25">
      <c r="A79" s="274" t="s">
        <v>137</v>
      </c>
      <c r="B79" s="275" t="s">
        <v>138</v>
      </c>
      <c r="C79" s="276">
        <v>132152.12</v>
      </c>
      <c r="D79" s="277">
        <v>126173.8</v>
      </c>
      <c r="E79" s="276">
        <v>97793.05</v>
      </c>
      <c r="F79" s="277">
        <v>0</v>
      </c>
      <c r="G79" s="276">
        <v>742816.4</v>
      </c>
      <c r="H79" s="277">
        <v>7705</v>
      </c>
      <c r="I79" s="276">
        <v>166132.79999999999</v>
      </c>
      <c r="J79" s="277">
        <v>1400</v>
      </c>
      <c r="K79" s="276">
        <v>197013.95</v>
      </c>
      <c r="L79" s="277">
        <v>0</v>
      </c>
      <c r="M79" s="276">
        <v>96061</v>
      </c>
      <c r="N79" s="277">
        <v>0</v>
      </c>
      <c r="O79" s="276">
        <v>137359.20000000001</v>
      </c>
      <c r="P79" s="277">
        <v>8176.15</v>
      </c>
      <c r="Q79" s="276">
        <v>287531.75</v>
      </c>
      <c r="R79" s="276">
        <v>56556</v>
      </c>
      <c r="S79" s="276">
        <v>238837.75</v>
      </c>
      <c r="T79" s="277">
        <v>56556</v>
      </c>
    </row>
    <row r="80" spans="1:20" ht="14.1" customHeight="1" x14ac:dyDescent="0.25">
      <c r="A80" s="274" t="s">
        <v>139</v>
      </c>
      <c r="B80" s="275" t="s">
        <v>140</v>
      </c>
      <c r="C80" s="276">
        <v>105324.8</v>
      </c>
      <c r="D80" s="277">
        <v>59009.85</v>
      </c>
      <c r="E80" s="276">
        <v>209766.65</v>
      </c>
      <c r="F80" s="277">
        <v>0</v>
      </c>
      <c r="G80" s="276">
        <f>1517422.05+124421.05</f>
        <v>1641843.1</v>
      </c>
      <c r="H80" s="277">
        <f>27730+87140.55</f>
        <v>114870.55</v>
      </c>
      <c r="I80" s="276">
        <v>352300.45</v>
      </c>
      <c r="J80" s="277">
        <v>0</v>
      </c>
      <c r="K80" s="276">
        <f>442558.7+5727.5</f>
        <v>448286.2</v>
      </c>
      <c r="L80" s="277">
        <v>0</v>
      </c>
      <c r="M80" s="276">
        <v>0</v>
      </c>
      <c r="N80" s="277">
        <v>0</v>
      </c>
      <c r="O80" s="276">
        <v>436709.6</v>
      </c>
      <c r="P80" s="277">
        <v>0</v>
      </c>
      <c r="Q80" s="276">
        <v>666222.19999999995</v>
      </c>
      <c r="R80" s="276">
        <v>30885.9</v>
      </c>
      <c r="S80" s="276">
        <v>534795.69999999995</v>
      </c>
      <c r="T80" s="277">
        <v>5645.9</v>
      </c>
    </row>
    <row r="81" spans="1:20" ht="14.1" customHeight="1" x14ac:dyDescent="0.25">
      <c r="A81" s="278">
        <v>2162</v>
      </c>
      <c r="B81" s="279" t="s">
        <v>112</v>
      </c>
      <c r="C81" s="280">
        <v>167521.54999999999</v>
      </c>
      <c r="D81" s="281">
        <v>119943.2</v>
      </c>
      <c r="E81" s="280">
        <v>117621.75</v>
      </c>
      <c r="F81" s="281">
        <v>0</v>
      </c>
      <c r="G81" s="280">
        <v>852520.75</v>
      </c>
      <c r="H81" s="281">
        <v>160</v>
      </c>
      <c r="I81" s="280">
        <v>191018.7</v>
      </c>
      <c r="J81" s="281">
        <v>0</v>
      </c>
      <c r="K81" s="280">
        <v>324612.3</v>
      </c>
      <c r="L81" s="281">
        <v>0</v>
      </c>
      <c r="M81" s="280">
        <v>105981.5</v>
      </c>
      <c r="N81" s="281">
        <v>0</v>
      </c>
      <c r="O81" s="280">
        <v>152809.60000000001</v>
      </c>
      <c r="P81" s="281">
        <v>12411</v>
      </c>
      <c r="Q81" s="280">
        <v>386180.9</v>
      </c>
      <c r="R81" s="280">
        <v>23783.67</v>
      </c>
      <c r="S81" s="280">
        <v>350801.95</v>
      </c>
      <c r="T81" s="281">
        <v>23783.67</v>
      </c>
    </row>
    <row r="82" spans="1:20" ht="14.1" customHeight="1" x14ac:dyDescent="0.25">
      <c r="A82" s="274" t="s">
        <v>141</v>
      </c>
      <c r="B82" s="275" t="s">
        <v>142</v>
      </c>
      <c r="C82" s="276">
        <v>75246.75</v>
      </c>
      <c r="D82" s="277">
        <v>39286.050000000003</v>
      </c>
      <c r="E82" s="276">
        <v>74260.899999999994</v>
      </c>
      <c r="F82" s="277">
        <v>0</v>
      </c>
      <c r="G82" s="276">
        <v>591729.4</v>
      </c>
      <c r="H82" s="277">
        <v>2520</v>
      </c>
      <c r="I82" s="276">
        <v>131919.6</v>
      </c>
      <c r="J82" s="277">
        <v>0</v>
      </c>
      <c r="K82" s="276">
        <v>176941.8</v>
      </c>
      <c r="L82" s="277">
        <v>0</v>
      </c>
      <c r="M82" s="276">
        <v>47276.1</v>
      </c>
      <c r="N82" s="277">
        <v>0</v>
      </c>
      <c r="O82" s="276">
        <v>133117.29999999999</v>
      </c>
      <c r="P82" s="277">
        <v>0</v>
      </c>
      <c r="Q82" s="276">
        <v>328777.65000000002</v>
      </c>
      <c r="R82" s="276">
        <v>6576.55</v>
      </c>
      <c r="S82" s="276">
        <v>309362.84999999998</v>
      </c>
      <c r="T82" s="277">
        <v>6576.55</v>
      </c>
    </row>
    <row r="83" spans="1:20" ht="14.1" customHeight="1" x14ac:dyDescent="0.25">
      <c r="A83" s="274" t="s">
        <v>143</v>
      </c>
      <c r="B83" s="275" t="s">
        <v>144</v>
      </c>
      <c r="C83" s="276">
        <v>3619.55</v>
      </c>
      <c r="D83" s="277">
        <v>436.7</v>
      </c>
      <c r="E83" s="276">
        <v>7426.05</v>
      </c>
      <c r="F83" s="277">
        <v>0</v>
      </c>
      <c r="G83" s="276">
        <v>90548.6</v>
      </c>
      <c r="H83" s="277">
        <v>25036.6</v>
      </c>
      <c r="I83" s="276">
        <v>12377.85</v>
      </c>
      <c r="J83" s="277">
        <v>0</v>
      </c>
      <c r="K83" s="276">
        <v>16990.8</v>
      </c>
      <c r="L83" s="277">
        <v>0</v>
      </c>
      <c r="M83" s="276">
        <v>5214.5</v>
      </c>
      <c r="N83" s="277">
        <v>0</v>
      </c>
      <c r="O83" s="276">
        <f>628.65+64.1</f>
        <v>692.75</v>
      </c>
      <c r="P83" s="277">
        <v>0</v>
      </c>
      <c r="Q83" s="276">
        <v>7181.85</v>
      </c>
      <c r="R83" s="276">
        <v>0</v>
      </c>
      <c r="S83" s="276">
        <v>5509.75</v>
      </c>
      <c r="T83" s="277">
        <v>0</v>
      </c>
    </row>
    <row r="84" spans="1:20" ht="14.1" customHeight="1" x14ac:dyDescent="0.25">
      <c r="A84" s="274" t="s">
        <v>145</v>
      </c>
      <c r="B84" s="275" t="s">
        <v>146</v>
      </c>
      <c r="C84" s="276">
        <v>65835.55</v>
      </c>
      <c r="D84" s="277">
        <v>20770.05</v>
      </c>
      <c r="E84" s="276">
        <v>69420.75</v>
      </c>
      <c r="F84" s="277">
        <v>1055.6500000000001</v>
      </c>
      <c r="G84" s="276">
        <v>585273.5</v>
      </c>
      <c r="H84" s="277">
        <v>53951.5</v>
      </c>
      <c r="I84" s="276">
        <v>118460.25</v>
      </c>
      <c r="J84" s="277">
        <v>0</v>
      </c>
      <c r="K84" s="276">
        <v>162745.85</v>
      </c>
      <c r="L84" s="277">
        <v>0</v>
      </c>
      <c r="M84" s="276">
        <v>47582.5</v>
      </c>
      <c r="N84" s="277">
        <v>3205</v>
      </c>
      <c r="O84" s="276">
        <v>118916.5</v>
      </c>
      <c r="P84" s="277">
        <v>0</v>
      </c>
      <c r="Q84" s="276">
        <v>183677.6</v>
      </c>
      <c r="R84" s="276">
        <v>526.5</v>
      </c>
      <c r="S84" s="276">
        <v>171283.6</v>
      </c>
      <c r="T84" s="277">
        <v>526.5</v>
      </c>
    </row>
    <row r="85" spans="1:20" ht="14.1" customHeight="1" x14ac:dyDescent="0.25">
      <c r="A85" s="274" t="s">
        <v>147</v>
      </c>
      <c r="B85" s="275" t="s">
        <v>148</v>
      </c>
      <c r="C85" s="276">
        <v>587328.69999999995</v>
      </c>
      <c r="D85" s="277">
        <v>406649.2</v>
      </c>
      <c r="E85" s="276">
        <v>170703.8</v>
      </c>
      <c r="F85" s="277">
        <v>0</v>
      </c>
      <c r="G85" s="276">
        <v>1449236.85</v>
      </c>
      <c r="H85" s="277">
        <v>14610.4</v>
      </c>
      <c r="I85" s="276">
        <v>324152.55</v>
      </c>
      <c r="J85" s="277">
        <v>0</v>
      </c>
      <c r="K85" s="276">
        <v>441135.55</v>
      </c>
      <c r="L85" s="277">
        <v>0</v>
      </c>
      <c r="M85" s="276">
        <v>134050</v>
      </c>
      <c r="N85" s="277">
        <v>0</v>
      </c>
      <c r="O85" s="276">
        <v>291500.15000000002</v>
      </c>
      <c r="P85" s="277">
        <v>4268</v>
      </c>
      <c r="Q85" s="276">
        <v>660634.1</v>
      </c>
      <c r="R85" s="276">
        <v>200137.5</v>
      </c>
      <c r="S85" s="276">
        <v>377987.25</v>
      </c>
      <c r="T85" s="277">
        <v>27302.35</v>
      </c>
    </row>
    <row r="86" spans="1:20" ht="14.1" customHeight="1" x14ac:dyDescent="0.25">
      <c r="A86" s="274" t="s">
        <v>149</v>
      </c>
      <c r="B86" s="275" t="s">
        <v>150</v>
      </c>
      <c r="C86" s="276">
        <v>419678.68</v>
      </c>
      <c r="D86" s="277">
        <v>369062.95</v>
      </c>
      <c r="E86" s="276">
        <v>277271.55</v>
      </c>
      <c r="F86" s="277">
        <v>0</v>
      </c>
      <c r="G86" s="276">
        <v>2333207.0699999998</v>
      </c>
      <c r="H86" s="277">
        <v>177652.6</v>
      </c>
      <c r="I86" s="276">
        <v>481484.25</v>
      </c>
      <c r="J86" s="277">
        <v>0</v>
      </c>
      <c r="K86" s="276">
        <v>661961.75</v>
      </c>
      <c r="L86" s="277">
        <v>0</v>
      </c>
      <c r="M86" s="276">
        <v>200033.5</v>
      </c>
      <c r="N86" s="277">
        <v>0</v>
      </c>
      <c r="O86" s="276">
        <v>536081.30000000005</v>
      </c>
      <c r="P86" s="277">
        <v>4278.2</v>
      </c>
      <c r="Q86" s="276">
        <v>721718.4</v>
      </c>
      <c r="R86" s="276">
        <v>125678.35</v>
      </c>
      <c r="S86" s="276">
        <v>385126.05</v>
      </c>
      <c r="T86" s="277">
        <v>64598.75</v>
      </c>
    </row>
    <row r="87" spans="1:20" ht="14.1" customHeight="1" x14ac:dyDescent="0.25">
      <c r="A87" s="274" t="s">
        <v>151</v>
      </c>
      <c r="B87" s="275" t="s">
        <v>152</v>
      </c>
      <c r="C87" s="276">
        <v>261359.5</v>
      </c>
      <c r="D87" s="277">
        <v>213538.95</v>
      </c>
      <c r="E87" s="276">
        <v>64804.35</v>
      </c>
      <c r="F87" s="277">
        <v>0</v>
      </c>
      <c r="G87" s="276">
        <v>513970.95</v>
      </c>
      <c r="H87" s="277">
        <v>7040.6</v>
      </c>
      <c r="I87" s="276">
        <v>117129.05</v>
      </c>
      <c r="J87" s="277">
        <v>0</v>
      </c>
      <c r="K87" s="276">
        <v>157536.95000000001</v>
      </c>
      <c r="L87" s="277">
        <v>0</v>
      </c>
      <c r="M87" s="276">
        <v>42525.65</v>
      </c>
      <c r="N87" s="277">
        <v>0</v>
      </c>
      <c r="O87" s="276">
        <v>124294.3</v>
      </c>
      <c r="P87" s="277">
        <v>8712.2999999999993</v>
      </c>
      <c r="Q87" s="276">
        <v>136963.6</v>
      </c>
      <c r="R87" s="276">
        <v>39124.699999999997</v>
      </c>
      <c r="S87" s="276">
        <v>87697.3</v>
      </c>
      <c r="T87" s="277">
        <v>15168.7</v>
      </c>
    </row>
    <row r="88" spans="1:20" ht="14.1" customHeight="1" x14ac:dyDescent="0.25">
      <c r="A88" s="274" t="s">
        <v>153</v>
      </c>
      <c r="B88" s="275" t="s">
        <v>154</v>
      </c>
      <c r="C88" s="276">
        <v>14084.75</v>
      </c>
      <c r="D88" s="277">
        <v>3523.95</v>
      </c>
      <c r="E88" s="276">
        <v>11573.15</v>
      </c>
      <c r="F88" s="277">
        <v>0</v>
      </c>
      <c r="G88" s="276">
        <v>146357.29999999999</v>
      </c>
      <c r="H88" s="277">
        <v>2020</v>
      </c>
      <c r="I88" s="276">
        <v>20110.849999999999</v>
      </c>
      <c r="J88" s="277">
        <v>0</v>
      </c>
      <c r="K88" s="276">
        <v>30875.4</v>
      </c>
      <c r="L88" s="277">
        <v>0</v>
      </c>
      <c r="M88" s="276">
        <v>9024.4</v>
      </c>
      <c r="N88" s="277">
        <v>0</v>
      </c>
      <c r="O88" s="276">
        <v>21258.7</v>
      </c>
      <c r="P88" s="277">
        <v>0</v>
      </c>
      <c r="Q88" s="276">
        <v>41410.35</v>
      </c>
      <c r="R88" s="276">
        <v>0</v>
      </c>
      <c r="S88" s="276">
        <v>38570.25</v>
      </c>
      <c r="T88" s="277">
        <v>0</v>
      </c>
    </row>
    <row r="89" spans="1:20" ht="14.1" customHeight="1" x14ac:dyDescent="0.25">
      <c r="A89" s="274" t="s">
        <v>155</v>
      </c>
      <c r="B89" s="275" t="s">
        <v>156</v>
      </c>
      <c r="C89" s="276">
        <v>233155.25</v>
      </c>
      <c r="D89" s="277">
        <v>28862.95</v>
      </c>
      <c r="E89" s="276">
        <v>206580.45</v>
      </c>
      <c r="F89" s="277">
        <v>0</v>
      </c>
      <c r="G89" s="276">
        <v>1690047.29</v>
      </c>
      <c r="H89" s="277">
        <v>74141.5</v>
      </c>
      <c r="I89" s="276">
        <v>435401.35</v>
      </c>
      <c r="J89" s="277">
        <v>0</v>
      </c>
      <c r="K89" s="276">
        <v>547788.25</v>
      </c>
      <c r="L89" s="277">
        <v>0</v>
      </c>
      <c r="M89" s="276">
        <v>152458</v>
      </c>
      <c r="N89" s="277">
        <v>0</v>
      </c>
      <c r="O89" s="276">
        <v>334075.3</v>
      </c>
      <c r="P89" s="277">
        <v>0</v>
      </c>
      <c r="Q89" s="276">
        <v>1139322.95</v>
      </c>
      <c r="R89" s="276">
        <v>139925.54999999999</v>
      </c>
      <c r="S89" s="276">
        <v>842268.15</v>
      </c>
      <c r="T89" s="277">
        <v>97874.05</v>
      </c>
    </row>
    <row r="90" spans="1:20" ht="14.1" customHeight="1" x14ac:dyDescent="0.25">
      <c r="A90" s="274" t="s">
        <v>157</v>
      </c>
      <c r="B90" s="275" t="s">
        <v>158</v>
      </c>
      <c r="C90" s="276">
        <v>73706.05</v>
      </c>
      <c r="D90" s="277">
        <v>7828.9</v>
      </c>
      <c r="E90" s="276">
        <v>115056.2</v>
      </c>
      <c r="F90" s="277">
        <v>0</v>
      </c>
      <c r="G90" s="276">
        <f>945964.9+3396.5</f>
        <v>949361.4</v>
      </c>
      <c r="H90" s="277">
        <v>42252.85</v>
      </c>
      <c r="I90" s="276">
        <v>227986.2</v>
      </c>
      <c r="J90" s="277">
        <v>0</v>
      </c>
      <c r="K90" s="276">
        <v>285528.8</v>
      </c>
      <c r="L90" s="277">
        <v>0</v>
      </c>
      <c r="M90" s="276">
        <v>76335.5</v>
      </c>
      <c r="N90" s="277">
        <v>0</v>
      </c>
      <c r="O90" s="276">
        <v>246858.2</v>
      </c>
      <c r="P90" s="277">
        <v>0</v>
      </c>
      <c r="Q90" s="276">
        <v>329256.3</v>
      </c>
      <c r="R90" s="276">
        <v>29230.6</v>
      </c>
      <c r="S90" s="276">
        <v>253299.5</v>
      </c>
      <c r="T90" s="277">
        <v>440</v>
      </c>
    </row>
    <row r="91" spans="1:20" ht="14.1" customHeight="1" x14ac:dyDescent="0.25">
      <c r="A91" s="274" t="s">
        <v>159</v>
      </c>
      <c r="B91" s="275" t="s">
        <v>160</v>
      </c>
      <c r="C91" s="276">
        <v>35897.85</v>
      </c>
      <c r="D91" s="277">
        <v>12869.6</v>
      </c>
      <c r="E91" s="276">
        <v>33465.699999999997</v>
      </c>
      <c r="F91" s="277">
        <v>0</v>
      </c>
      <c r="G91" s="276">
        <v>423753.7</v>
      </c>
      <c r="H91" s="277">
        <v>0</v>
      </c>
      <c r="I91" s="276">
        <v>63739.9</v>
      </c>
      <c r="J91" s="277">
        <v>0</v>
      </c>
      <c r="K91" s="276">
        <v>85150.25</v>
      </c>
      <c r="L91" s="277">
        <v>0</v>
      </c>
      <c r="M91" s="276">
        <v>25032.35</v>
      </c>
      <c r="N91" s="277">
        <v>0</v>
      </c>
      <c r="O91" s="276">
        <v>60571.35</v>
      </c>
      <c r="P91" s="277">
        <v>0</v>
      </c>
      <c r="Q91" s="276">
        <v>35987.199999999997</v>
      </c>
      <c r="R91" s="276">
        <v>0</v>
      </c>
      <c r="S91" s="276">
        <v>27388.75</v>
      </c>
      <c r="T91" s="277">
        <v>0</v>
      </c>
    </row>
    <row r="92" spans="1:20" ht="14.1" customHeight="1" x14ac:dyDescent="0.25">
      <c r="A92" s="274" t="s">
        <v>161</v>
      </c>
      <c r="B92" s="275" t="s">
        <v>162</v>
      </c>
      <c r="C92" s="276">
        <v>108609.2</v>
      </c>
      <c r="D92" s="277">
        <v>35819.75</v>
      </c>
      <c r="E92" s="276">
        <v>130197.75</v>
      </c>
      <c r="F92" s="277">
        <v>0</v>
      </c>
      <c r="G92" s="276">
        <v>1105806.3500000001</v>
      </c>
      <c r="H92" s="277">
        <v>67810.55</v>
      </c>
      <c r="I92" s="276">
        <v>238297.4</v>
      </c>
      <c r="J92" s="277">
        <v>0</v>
      </c>
      <c r="K92" s="276">
        <v>312507.8</v>
      </c>
      <c r="L92" s="277">
        <v>0</v>
      </c>
      <c r="M92" s="276">
        <v>102654.75</v>
      </c>
      <c r="N92" s="277">
        <v>0</v>
      </c>
      <c r="O92" s="276">
        <v>236701.15</v>
      </c>
      <c r="P92" s="277">
        <v>5256</v>
      </c>
      <c r="Q92" s="276">
        <v>350336.4</v>
      </c>
      <c r="R92" s="276">
        <v>28235</v>
      </c>
      <c r="S92" s="276">
        <v>273108.7</v>
      </c>
      <c r="T92" s="277">
        <v>4800</v>
      </c>
    </row>
    <row r="93" spans="1:20" ht="14.1" customHeight="1" x14ac:dyDescent="0.25">
      <c r="A93" s="274" t="s">
        <v>163</v>
      </c>
      <c r="B93" s="275" t="s">
        <v>164</v>
      </c>
      <c r="C93" s="276">
        <v>206495.4</v>
      </c>
      <c r="D93" s="277">
        <v>168177.8</v>
      </c>
      <c r="E93" s="276">
        <v>103290.25</v>
      </c>
      <c r="F93" s="277">
        <v>0</v>
      </c>
      <c r="G93" s="276">
        <v>779280.7</v>
      </c>
      <c r="H93" s="277">
        <v>3216</v>
      </c>
      <c r="I93" s="276">
        <v>192939.4</v>
      </c>
      <c r="J93" s="277">
        <v>0</v>
      </c>
      <c r="K93" s="276">
        <v>247469.9</v>
      </c>
      <c r="L93" s="277">
        <v>0</v>
      </c>
      <c r="M93" s="276">
        <v>79504</v>
      </c>
      <c r="N93" s="277">
        <v>0</v>
      </c>
      <c r="O93" s="276">
        <v>182534.1</v>
      </c>
      <c r="P93" s="277">
        <v>475</v>
      </c>
      <c r="Q93" s="276">
        <v>170122.45</v>
      </c>
      <c r="R93" s="276">
        <v>26523.35</v>
      </c>
      <c r="S93" s="276">
        <v>102204.95</v>
      </c>
      <c r="T93" s="277">
        <v>692.35</v>
      </c>
    </row>
    <row r="94" spans="1:20" ht="14.1" customHeight="1" x14ac:dyDescent="0.25">
      <c r="A94" s="274" t="s">
        <v>165</v>
      </c>
      <c r="B94" s="275" t="s">
        <v>333</v>
      </c>
      <c r="C94" s="276">
        <v>217909.9</v>
      </c>
      <c r="D94" s="277">
        <v>85447.55</v>
      </c>
      <c r="E94" s="276">
        <v>203880.05</v>
      </c>
      <c r="F94" s="277">
        <v>0</v>
      </c>
      <c r="G94" s="276">
        <f>1583302.5+150562.35</f>
        <v>1733864.85</v>
      </c>
      <c r="H94" s="277">
        <f>50783.55+70190.49</f>
        <v>120974.04000000001</v>
      </c>
      <c r="I94" s="276">
        <v>396135.1</v>
      </c>
      <c r="J94" s="277">
        <v>0</v>
      </c>
      <c r="K94" s="276">
        <v>495576.55</v>
      </c>
      <c r="L94" s="277">
        <v>0</v>
      </c>
      <c r="M94" s="276">
        <v>142763</v>
      </c>
      <c r="N94" s="277">
        <v>0</v>
      </c>
      <c r="O94" s="276">
        <v>492607.6</v>
      </c>
      <c r="P94" s="277">
        <v>7857.9</v>
      </c>
      <c r="Q94" s="276">
        <v>640453.1</v>
      </c>
      <c r="R94" s="276">
        <v>59032.15</v>
      </c>
      <c r="S94" s="276">
        <v>524775.80000000005</v>
      </c>
      <c r="T94" s="277">
        <v>27357.55</v>
      </c>
    </row>
    <row r="95" spans="1:20" ht="14.1" customHeight="1" x14ac:dyDescent="0.25">
      <c r="A95" s="274" t="s">
        <v>166</v>
      </c>
      <c r="B95" s="275" t="s">
        <v>167</v>
      </c>
      <c r="C95" s="276">
        <v>77235.7</v>
      </c>
      <c r="D95" s="277">
        <v>21371.65</v>
      </c>
      <c r="E95" s="276">
        <v>25460.9</v>
      </c>
      <c r="F95" s="277">
        <v>0</v>
      </c>
      <c r="G95" s="276">
        <v>257420.4</v>
      </c>
      <c r="H95" s="277">
        <v>0</v>
      </c>
      <c r="I95" s="276">
        <v>38896.25</v>
      </c>
      <c r="J95" s="277">
        <v>0</v>
      </c>
      <c r="K95" s="276">
        <v>79267.5</v>
      </c>
      <c r="L95" s="277">
        <v>0</v>
      </c>
      <c r="M95" s="276">
        <v>26222.2</v>
      </c>
      <c r="N95" s="277">
        <v>0</v>
      </c>
      <c r="O95" s="276">
        <v>50723.55</v>
      </c>
      <c r="P95" s="277">
        <v>0</v>
      </c>
      <c r="Q95" s="276">
        <v>93852.45</v>
      </c>
      <c r="R95" s="276">
        <v>2679.6</v>
      </c>
      <c r="S95" s="276">
        <v>83591.25</v>
      </c>
      <c r="T95" s="277">
        <v>2679.6</v>
      </c>
    </row>
    <row r="96" spans="1:20" ht="14.1" customHeight="1" x14ac:dyDescent="0.25">
      <c r="A96" s="274" t="s">
        <v>168</v>
      </c>
      <c r="B96" s="275" t="s">
        <v>169</v>
      </c>
      <c r="C96" s="276">
        <v>9211617.4700000007</v>
      </c>
      <c r="D96" s="277">
        <v>5347394</v>
      </c>
      <c r="E96" s="276">
        <v>5072849.8499999996</v>
      </c>
      <c r="F96" s="277">
        <v>6902</v>
      </c>
      <c r="G96" s="276">
        <v>48236999.350000001</v>
      </c>
      <c r="H96" s="277">
        <v>8943216.6500000004</v>
      </c>
      <c r="I96" s="276">
        <v>6378158.9000000004</v>
      </c>
      <c r="J96" s="277">
        <v>426480.5</v>
      </c>
      <c r="K96" s="276">
        <v>8614185.5999999996</v>
      </c>
      <c r="L96" s="277">
        <v>0</v>
      </c>
      <c r="M96" s="276">
        <v>2548358.85</v>
      </c>
      <c r="N96" s="277">
        <v>0</v>
      </c>
      <c r="O96" s="276">
        <v>22814176.649999999</v>
      </c>
      <c r="P96" s="277">
        <v>12068082.33</v>
      </c>
      <c r="Q96" s="276">
        <v>20225036.57</v>
      </c>
      <c r="R96" s="276">
        <v>9340913.2799999993</v>
      </c>
      <c r="S96" s="276">
        <v>10481656.42</v>
      </c>
      <c r="T96" s="277">
        <v>9340913.2799999993</v>
      </c>
    </row>
    <row r="97" spans="1:20" ht="14.1" customHeight="1" x14ac:dyDescent="0.25">
      <c r="A97" s="274" t="s">
        <v>170</v>
      </c>
      <c r="B97" s="275" t="s">
        <v>171</v>
      </c>
      <c r="C97" s="276">
        <v>378703</v>
      </c>
      <c r="D97" s="277">
        <v>26292.5</v>
      </c>
      <c r="E97" s="276">
        <v>330312.25</v>
      </c>
      <c r="F97" s="277">
        <v>5320</v>
      </c>
      <c r="G97" s="276">
        <v>2377024.35</v>
      </c>
      <c r="H97" s="277">
        <v>14420</v>
      </c>
      <c r="I97" s="276">
        <v>542782.5</v>
      </c>
      <c r="J97" s="277">
        <v>28467</v>
      </c>
      <c r="K97" s="276">
        <v>739623.95</v>
      </c>
      <c r="L97" s="277">
        <v>0</v>
      </c>
      <c r="M97" s="276">
        <v>221184</v>
      </c>
      <c r="N97" s="277">
        <v>0</v>
      </c>
      <c r="O97" s="276">
        <v>631920</v>
      </c>
      <c r="P97" s="277">
        <v>10121.219999999999</v>
      </c>
      <c r="Q97" s="276">
        <v>1469807.08</v>
      </c>
      <c r="R97" s="276">
        <v>150699.1</v>
      </c>
      <c r="S97" s="276">
        <v>830231.88</v>
      </c>
      <c r="T97" s="277">
        <v>55324.1</v>
      </c>
    </row>
    <row r="98" spans="1:20" ht="14.1" customHeight="1" x14ac:dyDescent="0.25">
      <c r="A98" s="274" t="s">
        <v>172</v>
      </c>
      <c r="B98" s="275" t="s">
        <v>173</v>
      </c>
      <c r="C98" s="276">
        <v>339145</v>
      </c>
      <c r="D98" s="277">
        <v>8847</v>
      </c>
      <c r="E98" s="276">
        <v>263192</v>
      </c>
      <c r="F98" s="277">
        <v>0</v>
      </c>
      <c r="G98" s="276">
        <v>2107010</v>
      </c>
      <c r="H98" s="277">
        <v>0</v>
      </c>
      <c r="I98" s="276">
        <v>531022</v>
      </c>
      <c r="J98" s="277">
        <v>53464</v>
      </c>
      <c r="K98" s="276">
        <v>700274</v>
      </c>
      <c r="L98" s="277">
        <v>95000</v>
      </c>
      <c r="M98" s="276">
        <v>227217</v>
      </c>
      <c r="N98" s="277">
        <v>0</v>
      </c>
      <c r="O98" s="276">
        <v>529951</v>
      </c>
      <c r="P98" s="277">
        <v>50</v>
      </c>
      <c r="Q98" s="276">
        <v>1253372</v>
      </c>
      <c r="R98" s="276">
        <v>232166</v>
      </c>
      <c r="S98" s="276">
        <v>669513</v>
      </c>
      <c r="T98" s="277">
        <v>145916</v>
      </c>
    </row>
    <row r="99" spans="1:20" ht="14.1" customHeight="1" x14ac:dyDescent="0.25">
      <c r="A99" s="274" t="s">
        <v>174</v>
      </c>
      <c r="B99" s="275" t="s">
        <v>175</v>
      </c>
      <c r="C99" s="276">
        <v>146002.95000000001</v>
      </c>
      <c r="D99" s="277">
        <v>50165.75</v>
      </c>
      <c r="E99" s="276">
        <v>184776.7</v>
      </c>
      <c r="F99" s="277">
        <v>0</v>
      </c>
      <c r="G99" s="276">
        <v>1356347.99</v>
      </c>
      <c r="H99" s="277">
        <v>36352.699999999997</v>
      </c>
      <c r="I99" s="276">
        <v>355132.65</v>
      </c>
      <c r="J99" s="277">
        <v>0</v>
      </c>
      <c r="K99" s="276">
        <v>422572.65</v>
      </c>
      <c r="L99" s="277">
        <v>0</v>
      </c>
      <c r="M99" s="276">
        <v>116967.65</v>
      </c>
      <c r="N99" s="277">
        <v>0</v>
      </c>
      <c r="O99" s="276">
        <v>282709.45</v>
      </c>
      <c r="P99" s="277">
        <v>53.6</v>
      </c>
      <c r="Q99" s="276">
        <v>476768.2</v>
      </c>
      <c r="R99" s="276">
        <v>84905</v>
      </c>
      <c r="S99" s="276">
        <v>372781.5</v>
      </c>
      <c r="T99" s="277">
        <v>61642.5</v>
      </c>
    </row>
    <row r="100" spans="1:20" ht="14.1" customHeight="1" x14ac:dyDescent="0.25">
      <c r="A100" s="274" t="s">
        <v>177</v>
      </c>
      <c r="B100" s="275" t="s">
        <v>178</v>
      </c>
      <c r="C100" s="276">
        <v>633108.80000000005</v>
      </c>
      <c r="D100" s="277">
        <v>404056.3</v>
      </c>
      <c r="E100" s="276">
        <v>754120.25</v>
      </c>
      <c r="F100" s="277">
        <v>3200</v>
      </c>
      <c r="G100" s="276">
        <v>6089904.6900000004</v>
      </c>
      <c r="H100" s="277">
        <v>269381.5</v>
      </c>
      <c r="I100" s="276">
        <v>1424961.55</v>
      </c>
      <c r="J100" s="277">
        <v>91289.05</v>
      </c>
      <c r="K100" s="276">
        <v>1808756</v>
      </c>
      <c r="L100" s="277">
        <v>0</v>
      </c>
      <c r="M100" s="276">
        <v>499453.9</v>
      </c>
      <c r="N100" s="277">
        <v>0</v>
      </c>
      <c r="O100" s="276">
        <v>3059953.65</v>
      </c>
      <c r="P100" s="277">
        <v>1700955.3</v>
      </c>
      <c r="Q100" s="276">
        <v>2051746.95</v>
      </c>
      <c r="R100" s="276">
        <v>178043</v>
      </c>
      <c r="S100" s="276">
        <v>929051.9</v>
      </c>
      <c r="T100" s="277">
        <v>32153.5</v>
      </c>
    </row>
    <row r="101" spans="1:20" ht="14.1" customHeight="1" x14ac:dyDescent="0.25">
      <c r="A101" s="274" t="s">
        <v>179</v>
      </c>
      <c r="B101" s="275" t="s">
        <v>180</v>
      </c>
      <c r="C101" s="276">
        <v>103682.7</v>
      </c>
      <c r="D101" s="277">
        <v>51098.2</v>
      </c>
      <c r="E101" s="276">
        <v>149100.6</v>
      </c>
      <c r="F101" s="277">
        <v>0</v>
      </c>
      <c r="G101" s="276">
        <v>1294650.2</v>
      </c>
      <c r="H101" s="277">
        <v>103448.7</v>
      </c>
      <c r="I101" s="276">
        <v>267834.2</v>
      </c>
      <c r="J101" s="277">
        <v>0</v>
      </c>
      <c r="K101" s="276">
        <v>367823.25</v>
      </c>
      <c r="L101" s="277">
        <v>0</v>
      </c>
      <c r="M101" s="276">
        <v>104109</v>
      </c>
      <c r="N101" s="277">
        <v>0</v>
      </c>
      <c r="O101" s="276">
        <v>220132.75</v>
      </c>
      <c r="P101" s="277">
        <v>0</v>
      </c>
      <c r="Q101" s="276">
        <v>609621.30000000005</v>
      </c>
      <c r="R101" s="276">
        <v>22435</v>
      </c>
      <c r="S101" s="276">
        <v>412179.05</v>
      </c>
      <c r="T101" s="277">
        <v>0</v>
      </c>
    </row>
    <row r="102" spans="1:20" ht="14.1" customHeight="1" x14ac:dyDescent="0.25">
      <c r="A102" s="274" t="s">
        <v>181</v>
      </c>
      <c r="B102" s="275" t="s">
        <v>182</v>
      </c>
      <c r="C102" s="276">
        <v>132921.65</v>
      </c>
      <c r="D102" s="277">
        <v>57740</v>
      </c>
      <c r="E102" s="276">
        <v>213456.2</v>
      </c>
      <c r="F102" s="277">
        <v>0</v>
      </c>
      <c r="G102" s="276">
        <v>1789605.15</v>
      </c>
      <c r="H102" s="277">
        <v>69139.850000000006</v>
      </c>
      <c r="I102" s="276">
        <v>392317.2</v>
      </c>
      <c r="J102" s="277">
        <v>0</v>
      </c>
      <c r="K102" s="276">
        <f>529712.6+729.15</f>
        <v>530441.75</v>
      </c>
      <c r="L102" s="277">
        <v>0</v>
      </c>
      <c r="M102" s="276">
        <v>157781.35</v>
      </c>
      <c r="N102" s="277">
        <v>0</v>
      </c>
      <c r="O102" s="276">
        <v>381838</v>
      </c>
      <c r="P102" s="277">
        <v>21156</v>
      </c>
      <c r="Q102" s="276">
        <v>448004.15</v>
      </c>
      <c r="R102" s="276">
        <v>50111</v>
      </c>
      <c r="S102" s="276">
        <v>343669.35</v>
      </c>
      <c r="T102" s="277">
        <v>25105</v>
      </c>
    </row>
    <row r="103" spans="1:20" ht="14.1" customHeight="1" x14ac:dyDescent="0.25">
      <c r="A103" s="274" t="s">
        <v>183</v>
      </c>
      <c r="B103" s="275" t="s">
        <v>184</v>
      </c>
      <c r="C103" s="276">
        <v>46399.85</v>
      </c>
      <c r="D103" s="277">
        <v>13498.95</v>
      </c>
      <c r="E103" s="276">
        <v>55647.6</v>
      </c>
      <c r="F103" s="277">
        <v>0</v>
      </c>
      <c r="G103" s="276">
        <f>479625.5+6291.72+51111.7</f>
        <v>537028.91999999993</v>
      </c>
      <c r="H103" s="277">
        <f>31067.22+51111.7</f>
        <v>82178.92</v>
      </c>
      <c r="I103" s="276">
        <v>98881.45</v>
      </c>
      <c r="J103" s="277">
        <v>0</v>
      </c>
      <c r="K103" s="276">
        <v>135055.95000000001</v>
      </c>
      <c r="L103" s="277">
        <v>0</v>
      </c>
      <c r="M103" s="276">
        <v>37308</v>
      </c>
      <c r="N103" s="277">
        <v>0</v>
      </c>
      <c r="O103" s="276">
        <v>101528.25</v>
      </c>
      <c r="P103" s="277">
        <v>0</v>
      </c>
      <c r="Q103" s="276">
        <v>82629.399999999994</v>
      </c>
      <c r="R103" s="276">
        <v>610.54999999999995</v>
      </c>
      <c r="S103" s="276">
        <v>70071.05</v>
      </c>
      <c r="T103" s="277">
        <v>610.54999999999995</v>
      </c>
    </row>
    <row r="104" spans="1:20" ht="14.1" customHeight="1" x14ac:dyDescent="0.25">
      <c r="A104" s="274" t="s">
        <v>185</v>
      </c>
      <c r="B104" s="275" t="s">
        <v>186</v>
      </c>
      <c r="C104" s="276">
        <v>15487</v>
      </c>
      <c r="D104" s="277">
        <v>0</v>
      </c>
      <c r="E104" s="276">
        <v>14273.6</v>
      </c>
      <c r="F104" s="277">
        <v>0</v>
      </c>
      <c r="G104" s="276">
        <v>221972.85</v>
      </c>
      <c r="H104" s="277">
        <v>42120</v>
      </c>
      <c r="I104" s="276">
        <v>23779.25</v>
      </c>
      <c r="J104" s="277">
        <v>0</v>
      </c>
      <c r="K104" s="276">
        <v>26449.15</v>
      </c>
      <c r="L104" s="277">
        <v>0</v>
      </c>
      <c r="M104" s="276">
        <v>10611</v>
      </c>
      <c r="N104" s="277">
        <v>0</v>
      </c>
      <c r="O104" s="276">
        <v>32725.8</v>
      </c>
      <c r="P104" s="277">
        <v>0</v>
      </c>
      <c r="Q104" s="276">
        <v>38086.449999999997</v>
      </c>
      <c r="R104" s="276">
        <v>0</v>
      </c>
      <c r="S104" s="276">
        <v>31737.15</v>
      </c>
      <c r="T104" s="277">
        <v>0</v>
      </c>
    </row>
    <row r="105" spans="1:20" ht="14.1" customHeight="1" x14ac:dyDescent="0.25">
      <c r="A105" s="274" t="s">
        <v>187</v>
      </c>
      <c r="B105" s="275" t="s">
        <v>188</v>
      </c>
      <c r="C105" s="276">
        <v>30060.25</v>
      </c>
      <c r="D105" s="277">
        <v>15353.9</v>
      </c>
      <c r="E105" s="276">
        <v>63555.85</v>
      </c>
      <c r="F105" s="277">
        <v>0</v>
      </c>
      <c r="G105" s="276">
        <v>516084.35</v>
      </c>
      <c r="H105" s="277">
        <v>4269.45</v>
      </c>
      <c r="I105" s="276">
        <v>113450.75</v>
      </c>
      <c r="J105" s="277">
        <v>0</v>
      </c>
      <c r="K105" s="276">
        <v>154136</v>
      </c>
      <c r="L105" s="277">
        <v>0</v>
      </c>
      <c r="M105" s="276">
        <v>40271.5</v>
      </c>
      <c r="N105" s="277">
        <v>0</v>
      </c>
      <c r="O105" s="276">
        <v>112816.2</v>
      </c>
      <c r="P105" s="277">
        <v>0</v>
      </c>
      <c r="Q105" s="276">
        <v>153657.79999999999</v>
      </c>
      <c r="R105" s="276">
        <v>0</v>
      </c>
      <c r="S105" s="276">
        <v>140601.9</v>
      </c>
      <c r="T105" s="277">
        <v>0</v>
      </c>
    </row>
    <row r="106" spans="1:20" ht="14.1" customHeight="1" x14ac:dyDescent="0.25">
      <c r="A106" s="274">
        <v>2220</v>
      </c>
      <c r="B106" s="275" t="s">
        <v>189</v>
      </c>
      <c r="C106" s="276">
        <v>832325.33</v>
      </c>
      <c r="D106" s="277">
        <v>676630.9</v>
      </c>
      <c r="E106" s="276">
        <v>311572</v>
      </c>
      <c r="F106" s="277">
        <v>3450</v>
      </c>
      <c r="G106" s="276">
        <f>2182904.45+43144.15+88212.3</f>
        <v>2314260.9</v>
      </c>
      <c r="H106" s="277">
        <f>20409.35+42066.6</f>
        <v>62475.95</v>
      </c>
      <c r="I106" s="276">
        <v>559486.69999999995</v>
      </c>
      <c r="J106" s="277">
        <v>27482</v>
      </c>
      <c r="K106" s="276">
        <v>700976.5</v>
      </c>
      <c r="L106" s="277">
        <v>10863</v>
      </c>
      <c r="M106" s="276">
        <v>193081.7</v>
      </c>
      <c r="N106" s="277">
        <v>0</v>
      </c>
      <c r="O106" s="276">
        <v>578022.15</v>
      </c>
      <c r="P106" s="277">
        <v>12744.9</v>
      </c>
      <c r="Q106" s="276">
        <v>962126.55</v>
      </c>
      <c r="R106" s="276">
        <v>198879.6</v>
      </c>
      <c r="S106" s="276">
        <v>834016.45</v>
      </c>
      <c r="T106" s="277">
        <v>172194.6</v>
      </c>
    </row>
    <row r="107" spans="1:20" ht="14.1" customHeight="1" x14ac:dyDescent="0.25">
      <c r="A107" s="274" t="s">
        <v>190</v>
      </c>
      <c r="B107" s="275" t="s">
        <v>191</v>
      </c>
      <c r="C107" s="276">
        <v>68685.649999999994</v>
      </c>
      <c r="D107" s="277">
        <v>23837.45</v>
      </c>
      <c r="E107" s="276">
        <v>88919.45</v>
      </c>
      <c r="F107" s="277">
        <v>0</v>
      </c>
      <c r="G107" s="276">
        <f>698737.7+5642.81</f>
        <v>704380.51</v>
      </c>
      <c r="H107" s="277">
        <f>28328.85+3891.5</f>
        <v>32220.35</v>
      </c>
      <c r="I107" s="276">
        <v>160188.5</v>
      </c>
      <c r="J107" s="277">
        <v>0</v>
      </c>
      <c r="K107" s="276">
        <v>215365.5</v>
      </c>
      <c r="L107" s="277">
        <v>0</v>
      </c>
      <c r="M107" s="276">
        <v>63264</v>
      </c>
      <c r="N107" s="277">
        <v>0</v>
      </c>
      <c r="O107" s="276">
        <v>153630.70000000001</v>
      </c>
      <c r="P107" s="277">
        <v>0</v>
      </c>
      <c r="Q107" s="276">
        <v>236016</v>
      </c>
      <c r="R107" s="276">
        <v>56683.15</v>
      </c>
      <c r="S107" s="276">
        <v>186435.6</v>
      </c>
      <c r="T107" s="277">
        <v>31009.65</v>
      </c>
    </row>
    <row r="108" spans="1:20" ht="14.1" customHeight="1" x14ac:dyDescent="0.25">
      <c r="A108" s="274" t="s">
        <v>192</v>
      </c>
      <c r="B108" s="275" t="s">
        <v>193</v>
      </c>
      <c r="C108" s="276">
        <v>192727.96</v>
      </c>
      <c r="D108" s="277">
        <v>149068.4</v>
      </c>
      <c r="E108" s="276">
        <v>120360.7</v>
      </c>
      <c r="F108" s="277">
        <v>0</v>
      </c>
      <c r="G108" s="276">
        <f>1013877.04+8517.7</f>
        <v>1022394.74</v>
      </c>
      <c r="H108" s="277">
        <v>50084.65</v>
      </c>
      <c r="I108" s="276">
        <v>243608.45</v>
      </c>
      <c r="J108" s="277">
        <v>0</v>
      </c>
      <c r="K108" s="276">
        <v>295245.3</v>
      </c>
      <c r="L108" s="277">
        <v>0</v>
      </c>
      <c r="M108" s="276">
        <v>86792</v>
      </c>
      <c r="N108" s="277">
        <v>0</v>
      </c>
      <c r="O108" s="276">
        <v>269639.90000000002</v>
      </c>
      <c r="P108" s="277">
        <v>12708.4</v>
      </c>
      <c r="Q108" s="276">
        <v>390288.56</v>
      </c>
      <c r="R108" s="276">
        <v>97941.65</v>
      </c>
      <c r="S108" s="276">
        <v>239685.65</v>
      </c>
      <c r="T108" s="277">
        <v>10562.1</v>
      </c>
    </row>
    <row r="109" spans="1:20" ht="14.1" customHeight="1" x14ac:dyDescent="0.25">
      <c r="A109" s="274">
        <v>2223</v>
      </c>
      <c r="B109" s="275" t="s">
        <v>194</v>
      </c>
      <c r="C109" s="276">
        <v>52671.5</v>
      </c>
      <c r="D109" s="277">
        <v>39208.35</v>
      </c>
      <c r="E109" s="276">
        <v>112259.55</v>
      </c>
      <c r="F109" s="277">
        <v>0</v>
      </c>
      <c r="G109" s="276">
        <f>883892.05+29922.35</f>
        <v>913814.4</v>
      </c>
      <c r="H109" s="277">
        <f>5080+8674.85</f>
        <v>13754.85</v>
      </c>
      <c r="I109" s="276">
        <v>220115.9</v>
      </c>
      <c r="J109" s="277">
        <v>0</v>
      </c>
      <c r="K109" s="276">
        <v>274281.05</v>
      </c>
      <c r="L109" s="277">
        <v>0</v>
      </c>
      <c r="M109" s="276">
        <v>77262</v>
      </c>
      <c r="N109" s="277">
        <v>0</v>
      </c>
      <c r="O109" s="276">
        <v>251656.1</v>
      </c>
      <c r="P109" s="277">
        <v>0</v>
      </c>
      <c r="Q109" s="276">
        <v>224244.15</v>
      </c>
      <c r="R109" s="276">
        <v>12383</v>
      </c>
      <c r="S109" s="276">
        <v>193476.2</v>
      </c>
      <c r="T109" s="277">
        <v>12383</v>
      </c>
    </row>
    <row r="110" spans="1:20" ht="14.1" customHeight="1" x14ac:dyDescent="0.25">
      <c r="A110" s="274" t="s">
        <v>195</v>
      </c>
      <c r="B110" s="275" t="s">
        <v>196</v>
      </c>
      <c r="C110" s="276">
        <v>21438.35</v>
      </c>
      <c r="D110" s="277">
        <v>4180.2</v>
      </c>
      <c r="E110" s="276">
        <v>12344.8</v>
      </c>
      <c r="F110" s="277">
        <v>0</v>
      </c>
      <c r="G110" s="276">
        <v>105126</v>
      </c>
      <c r="H110" s="277">
        <v>420</v>
      </c>
      <c r="I110" s="276">
        <v>19448.150000000001</v>
      </c>
      <c r="J110" s="277">
        <v>0</v>
      </c>
      <c r="K110" s="276">
        <v>31314.25</v>
      </c>
      <c r="L110" s="277">
        <v>0</v>
      </c>
      <c r="M110" s="276">
        <v>9031</v>
      </c>
      <c r="N110" s="277">
        <v>0</v>
      </c>
      <c r="O110" s="276">
        <v>25091.25</v>
      </c>
      <c r="P110" s="277">
        <v>0</v>
      </c>
      <c r="Q110" s="276">
        <v>23670.3</v>
      </c>
      <c r="R110" s="276">
        <v>0</v>
      </c>
      <c r="S110" s="276">
        <v>20435.2</v>
      </c>
      <c r="T110" s="277">
        <v>0</v>
      </c>
    </row>
    <row r="111" spans="1:20" ht="14.1" customHeight="1" x14ac:dyDescent="0.25">
      <c r="A111" s="274" t="s">
        <v>197</v>
      </c>
      <c r="B111" s="275" t="s">
        <v>198</v>
      </c>
      <c r="C111" s="276">
        <v>137105.04999999999</v>
      </c>
      <c r="D111" s="277">
        <v>85357.9</v>
      </c>
      <c r="E111" s="276">
        <v>139938.5</v>
      </c>
      <c r="F111" s="277">
        <v>0</v>
      </c>
      <c r="G111" s="276">
        <v>1052332.8</v>
      </c>
      <c r="H111" s="277">
        <v>2704.5</v>
      </c>
      <c r="I111" s="276">
        <v>293406.75</v>
      </c>
      <c r="J111" s="277">
        <v>27478</v>
      </c>
      <c r="K111" s="276">
        <v>323628.15000000002</v>
      </c>
      <c r="L111" s="277">
        <v>0</v>
      </c>
      <c r="M111" s="276">
        <v>87984</v>
      </c>
      <c r="N111" s="277">
        <v>0</v>
      </c>
      <c r="O111" s="276">
        <v>265431.84999999998</v>
      </c>
      <c r="P111" s="277">
        <v>222.2</v>
      </c>
      <c r="Q111" s="276">
        <v>368367.45</v>
      </c>
      <c r="R111" s="276">
        <v>103391.55</v>
      </c>
      <c r="S111" s="276">
        <v>311505.05</v>
      </c>
      <c r="T111" s="277">
        <v>81991.55</v>
      </c>
    </row>
    <row r="112" spans="1:20" ht="14.1" customHeight="1" x14ac:dyDescent="0.25">
      <c r="A112" s="274" t="s">
        <v>199</v>
      </c>
      <c r="B112" s="275" t="s">
        <v>200</v>
      </c>
      <c r="C112" s="276">
        <v>861138.76</v>
      </c>
      <c r="D112" s="277">
        <v>159215</v>
      </c>
      <c r="E112" s="276">
        <v>1175386.6499999999</v>
      </c>
      <c r="F112" s="277">
        <v>0</v>
      </c>
      <c r="G112" s="276">
        <f>10459550.1+702054.45</f>
        <v>11161604.549999999</v>
      </c>
      <c r="H112" s="277">
        <f>93237.85+270653.75</f>
        <v>363891.6</v>
      </c>
      <c r="I112" s="276">
        <v>1675476.85</v>
      </c>
      <c r="J112" s="277">
        <v>0</v>
      </c>
      <c r="K112" s="276">
        <f>1830214.6+1187272.3</f>
        <v>3017486.9000000004</v>
      </c>
      <c r="L112" s="277">
        <v>1043449.65</v>
      </c>
      <c r="M112" s="276">
        <v>963613.45</v>
      </c>
      <c r="N112" s="277">
        <v>0</v>
      </c>
      <c r="O112" s="276">
        <f>4253537.45+714887.65</f>
        <v>4968425.1000000006</v>
      </c>
      <c r="P112" s="277">
        <f>1530915.72+32189.4</f>
        <v>1563105.1199999999</v>
      </c>
      <c r="Q112" s="276">
        <v>5312249.6399999997</v>
      </c>
      <c r="R112" s="276">
        <v>332048.40000000002</v>
      </c>
      <c r="S112" s="276">
        <v>3154524.65</v>
      </c>
      <c r="T112" s="277">
        <v>302560.7</v>
      </c>
    </row>
    <row r="113" spans="1:20" s="282" customFormat="1" ht="14.1" customHeight="1" x14ac:dyDescent="0.25">
      <c r="A113" s="274" t="s">
        <v>201</v>
      </c>
      <c r="B113" s="275" t="s">
        <v>202</v>
      </c>
      <c r="C113" s="276">
        <v>4765.6000000000004</v>
      </c>
      <c r="D113" s="277">
        <v>2979.15</v>
      </c>
      <c r="E113" s="276">
        <v>7908.3</v>
      </c>
      <c r="F113" s="277">
        <v>0</v>
      </c>
      <c r="G113" s="276">
        <f>3.5+31350+33870.35+20322.4+20140</f>
        <v>105686.25</v>
      </c>
      <c r="H113" s="277">
        <v>31350</v>
      </c>
      <c r="I113" s="276">
        <f>11071.05+681.75+669</f>
        <v>12421.8</v>
      </c>
      <c r="J113" s="277">
        <v>0</v>
      </c>
      <c r="K113" s="276">
        <f>12798.75+6276.5</f>
        <v>19075.25</v>
      </c>
      <c r="L113" s="277">
        <v>0</v>
      </c>
      <c r="M113" s="276">
        <f>19.25+2512+2078</f>
        <v>4609.25</v>
      </c>
      <c r="N113" s="277">
        <v>0</v>
      </c>
      <c r="O113" s="276">
        <f>473.6+72.8+1260+350.85+7419.75+6367.45</f>
        <v>15944.45</v>
      </c>
      <c r="P113" s="277">
        <v>0</v>
      </c>
      <c r="Q113" s="276">
        <v>7083.2</v>
      </c>
      <c r="R113" s="276">
        <v>0</v>
      </c>
      <c r="S113" s="276">
        <f>1485.65+994.75</f>
        <v>2480.4</v>
      </c>
      <c r="T113" s="277">
        <v>0</v>
      </c>
    </row>
    <row r="114" spans="1:20" ht="14.1" customHeight="1" x14ac:dyDescent="0.25">
      <c r="A114" s="274" t="s">
        <v>203</v>
      </c>
      <c r="B114" s="275" t="s">
        <v>204</v>
      </c>
      <c r="C114" s="276">
        <v>118129.72</v>
      </c>
      <c r="D114" s="277">
        <v>35428</v>
      </c>
      <c r="E114" s="276">
        <v>82844</v>
      </c>
      <c r="F114" s="277">
        <v>0</v>
      </c>
      <c r="G114" s="276">
        <f>719538.55+281004.85</f>
        <v>1000543.4</v>
      </c>
      <c r="H114" s="277">
        <f>50+119919.9</f>
        <v>119969.9</v>
      </c>
      <c r="I114" s="276">
        <v>144857.04999999999</v>
      </c>
      <c r="J114" s="277">
        <v>0</v>
      </c>
      <c r="K114" s="276">
        <v>211700.75</v>
      </c>
      <c r="L114" s="277">
        <v>0</v>
      </c>
      <c r="M114" s="276">
        <v>69730.2</v>
      </c>
      <c r="N114" s="277">
        <v>0</v>
      </c>
      <c r="O114" s="276">
        <v>191630.75</v>
      </c>
      <c r="P114" s="277">
        <v>0</v>
      </c>
      <c r="Q114" s="276">
        <v>349149.46</v>
      </c>
      <c r="R114" s="276">
        <v>0</v>
      </c>
      <c r="S114" s="276">
        <v>312670.01</v>
      </c>
      <c r="T114" s="277">
        <v>0</v>
      </c>
    </row>
    <row r="115" spans="1:20" ht="14.1" customHeight="1" x14ac:dyDescent="0.25">
      <c r="A115" s="274">
        <v>2233</v>
      </c>
      <c r="B115" s="275" t="s">
        <v>205</v>
      </c>
      <c r="C115" s="276">
        <v>105912.9</v>
      </c>
      <c r="D115" s="277">
        <v>56547.7</v>
      </c>
      <c r="E115" s="276">
        <v>234710.8</v>
      </c>
      <c r="F115" s="277">
        <v>9270.4</v>
      </c>
      <c r="G115" s="276">
        <f>1826870.6+25000</f>
        <v>1851870.6</v>
      </c>
      <c r="H115" s="277">
        <v>81088.600000000006</v>
      </c>
      <c r="I115" s="276">
        <v>431125.8</v>
      </c>
      <c r="J115" s="277">
        <v>18969.849999999999</v>
      </c>
      <c r="K115" s="276">
        <v>528685.35</v>
      </c>
      <c r="L115" s="277">
        <v>17892.099999999999</v>
      </c>
      <c r="M115" s="276">
        <v>149542</v>
      </c>
      <c r="N115" s="277">
        <v>5097.5</v>
      </c>
      <c r="O115" s="276">
        <v>521516.79999999999</v>
      </c>
      <c r="P115" s="277">
        <v>63645.45</v>
      </c>
      <c r="Q115" s="276">
        <v>538106.35</v>
      </c>
      <c r="R115" s="276">
        <v>13743.15</v>
      </c>
      <c r="S115" s="276">
        <v>430182.05</v>
      </c>
      <c r="T115" s="277">
        <v>535</v>
      </c>
    </row>
    <row r="116" spans="1:20" ht="14.1" customHeight="1" x14ac:dyDescent="0.25">
      <c r="A116" s="274">
        <v>2234</v>
      </c>
      <c r="B116" s="275" t="s">
        <v>206</v>
      </c>
      <c r="C116" s="276">
        <v>98667.199999999997</v>
      </c>
      <c r="D116" s="277">
        <v>24631</v>
      </c>
      <c r="E116" s="276">
        <v>168967.9</v>
      </c>
      <c r="F116" s="277">
        <v>0</v>
      </c>
      <c r="G116" s="276">
        <f>2124756.55+9000</f>
        <v>2133756.5499999998</v>
      </c>
      <c r="H116" s="277">
        <v>737591.6</v>
      </c>
      <c r="I116" s="276">
        <v>307112.15000000002</v>
      </c>
      <c r="J116" s="277">
        <v>0</v>
      </c>
      <c r="K116" s="276">
        <v>408942.65</v>
      </c>
      <c r="L116" s="277">
        <v>0</v>
      </c>
      <c r="M116" s="276">
        <v>123545</v>
      </c>
      <c r="N116" s="277">
        <v>9461</v>
      </c>
      <c r="O116" s="276">
        <v>295795.25</v>
      </c>
      <c r="P116" s="277">
        <v>628.15</v>
      </c>
      <c r="Q116" s="276">
        <v>571082.5</v>
      </c>
      <c r="R116" s="276">
        <v>148114.04999999999</v>
      </c>
      <c r="S116" s="276">
        <v>522254.7</v>
      </c>
      <c r="T116" s="277">
        <v>148114.04999999999</v>
      </c>
    </row>
    <row r="117" spans="1:20" ht="14.1" customHeight="1" x14ac:dyDescent="0.25">
      <c r="A117" s="278">
        <v>2235</v>
      </c>
      <c r="B117" s="279" t="s">
        <v>176</v>
      </c>
      <c r="C117" s="280">
        <v>52821.8</v>
      </c>
      <c r="D117" s="281">
        <v>15890.5</v>
      </c>
      <c r="E117" s="280">
        <v>106580.55</v>
      </c>
      <c r="F117" s="281">
        <v>2700</v>
      </c>
      <c r="G117" s="280">
        <v>835400.1</v>
      </c>
      <c r="H117" s="281">
        <v>38554</v>
      </c>
      <c r="I117" s="280">
        <v>211232.2</v>
      </c>
      <c r="J117" s="281">
        <v>17588</v>
      </c>
      <c r="K117" s="280">
        <f>152670.65+80470.75</f>
        <v>233141.4</v>
      </c>
      <c r="L117" s="281">
        <v>0</v>
      </c>
      <c r="M117" s="280">
        <v>68500.5</v>
      </c>
      <c r="N117" s="281">
        <v>0</v>
      </c>
      <c r="O117" s="280">
        <v>168121.8</v>
      </c>
      <c r="P117" s="281">
        <v>0</v>
      </c>
      <c r="Q117" s="280">
        <v>210440.5</v>
      </c>
      <c r="R117" s="280">
        <v>11983.2</v>
      </c>
      <c r="S117" s="280">
        <v>181593.1</v>
      </c>
      <c r="T117" s="281">
        <v>11983.2</v>
      </c>
    </row>
    <row r="118" spans="1:20" ht="14.1" customHeight="1" x14ac:dyDescent="0.25">
      <c r="A118" s="274" t="s">
        <v>207</v>
      </c>
      <c r="B118" s="275" t="s">
        <v>334</v>
      </c>
      <c r="C118" s="276">
        <v>49948.95</v>
      </c>
      <c r="D118" s="277">
        <v>18747.55</v>
      </c>
      <c r="E118" s="276">
        <v>50439.6</v>
      </c>
      <c r="F118" s="277">
        <v>0</v>
      </c>
      <c r="G118" s="276">
        <v>451871.7</v>
      </c>
      <c r="H118" s="277">
        <v>4471.1000000000004</v>
      </c>
      <c r="I118" s="276">
        <v>86501.8</v>
      </c>
      <c r="J118" s="277">
        <v>0</v>
      </c>
      <c r="K118" s="276">
        <v>88399.25</v>
      </c>
      <c r="L118" s="277">
        <v>0</v>
      </c>
      <c r="M118" s="276">
        <v>41708.800000000003</v>
      </c>
      <c r="N118" s="277">
        <v>0</v>
      </c>
      <c r="O118" s="276">
        <v>66781.850000000006</v>
      </c>
      <c r="P118" s="277">
        <v>0</v>
      </c>
      <c r="Q118" s="276">
        <v>267188.25</v>
      </c>
      <c r="R118" s="276">
        <v>49918.7</v>
      </c>
      <c r="S118" s="276">
        <v>238446.45</v>
      </c>
      <c r="T118" s="277">
        <v>39203.699999999997</v>
      </c>
    </row>
    <row r="119" spans="1:20" ht="14.1" customHeight="1" x14ac:dyDescent="0.25">
      <c r="A119" s="274" t="s">
        <v>210</v>
      </c>
      <c r="B119" s="275" t="s">
        <v>211</v>
      </c>
      <c r="C119" s="276">
        <v>151122.04999999999</v>
      </c>
      <c r="D119" s="277">
        <v>108580.05</v>
      </c>
      <c r="E119" s="276">
        <v>129522.7</v>
      </c>
      <c r="F119" s="277">
        <v>0</v>
      </c>
      <c r="G119" s="276">
        <v>1659268.4</v>
      </c>
      <c r="H119" s="277">
        <v>0</v>
      </c>
      <c r="I119" s="276">
        <v>202876.3</v>
      </c>
      <c r="J119" s="277">
        <v>0</v>
      </c>
      <c r="K119" s="276">
        <f>212321.95+18822</f>
        <v>231143.95</v>
      </c>
      <c r="L119" s="277">
        <v>0</v>
      </c>
      <c r="M119" s="276">
        <v>120638.65</v>
      </c>
      <c r="N119" s="277">
        <v>0</v>
      </c>
      <c r="O119" s="276">
        <v>163391.85</v>
      </c>
      <c r="P119" s="277">
        <v>0</v>
      </c>
      <c r="Q119" s="276">
        <v>320205.40000000002</v>
      </c>
      <c r="R119" s="276">
        <v>21618.35</v>
      </c>
      <c r="S119" s="276">
        <v>228470.7</v>
      </c>
      <c r="T119" s="277">
        <v>700</v>
      </c>
    </row>
    <row r="120" spans="1:20" ht="14.1" customHeight="1" x14ac:dyDescent="0.25">
      <c r="A120" s="274" t="s">
        <v>212</v>
      </c>
      <c r="B120" s="275" t="s">
        <v>213</v>
      </c>
      <c r="C120" s="276">
        <v>43458.35</v>
      </c>
      <c r="D120" s="277">
        <v>18141.349999999999</v>
      </c>
      <c r="E120" s="276">
        <v>29415.1</v>
      </c>
      <c r="F120" s="277">
        <v>0</v>
      </c>
      <c r="G120" s="276">
        <v>328252.05</v>
      </c>
      <c r="H120" s="277">
        <v>0</v>
      </c>
      <c r="I120" s="276">
        <v>45108.800000000003</v>
      </c>
      <c r="J120" s="277">
        <v>0</v>
      </c>
      <c r="K120" s="276">
        <v>46471.6</v>
      </c>
      <c r="L120" s="277">
        <v>0</v>
      </c>
      <c r="M120" s="276">
        <v>32363</v>
      </c>
      <c r="N120" s="277">
        <v>0</v>
      </c>
      <c r="O120" s="276">
        <v>49784.15</v>
      </c>
      <c r="P120" s="277">
        <v>16547.7</v>
      </c>
      <c r="Q120" s="276">
        <v>70943.350000000006</v>
      </c>
      <c r="R120" s="276">
        <v>50726.2</v>
      </c>
      <c r="S120" s="276">
        <v>41896.35</v>
      </c>
      <c r="T120" s="277">
        <v>27000</v>
      </c>
    </row>
    <row r="121" spans="1:20" ht="14.1" customHeight="1" x14ac:dyDescent="0.25">
      <c r="A121" s="274" t="s">
        <v>214</v>
      </c>
      <c r="B121" s="275" t="s">
        <v>215</v>
      </c>
      <c r="C121" s="276">
        <v>608905.91</v>
      </c>
      <c r="D121" s="277">
        <v>466507.16</v>
      </c>
      <c r="E121" s="276">
        <v>345571.2</v>
      </c>
      <c r="F121" s="277">
        <v>10397.049999999999</v>
      </c>
      <c r="G121" s="276">
        <v>2507541.7200000002</v>
      </c>
      <c r="H121" s="277">
        <v>94669.41</v>
      </c>
      <c r="I121" s="276">
        <v>602943.35</v>
      </c>
      <c r="J121" s="277">
        <v>0</v>
      </c>
      <c r="K121" s="276">
        <v>650157.94999999995</v>
      </c>
      <c r="L121" s="277">
        <v>0</v>
      </c>
      <c r="M121" s="276">
        <v>252013.2</v>
      </c>
      <c r="N121" s="277">
        <v>0</v>
      </c>
      <c r="O121" s="276">
        <v>518580.95</v>
      </c>
      <c r="P121" s="277">
        <v>28349.75</v>
      </c>
      <c r="Q121" s="276">
        <v>820726.79</v>
      </c>
      <c r="R121" s="276">
        <v>121875.15</v>
      </c>
      <c r="S121" s="276">
        <v>618839.59</v>
      </c>
      <c r="T121" s="277">
        <v>53018.15</v>
      </c>
    </row>
    <row r="122" spans="1:20" ht="14.1" customHeight="1" x14ac:dyDescent="0.25">
      <c r="A122" s="274" t="s">
        <v>216</v>
      </c>
      <c r="B122" s="275" t="s">
        <v>217</v>
      </c>
      <c r="C122" s="276">
        <v>116957.55</v>
      </c>
      <c r="D122" s="277">
        <v>60493.5</v>
      </c>
      <c r="E122" s="276">
        <v>83354.7</v>
      </c>
      <c r="F122" s="277">
        <v>0</v>
      </c>
      <c r="G122" s="276">
        <v>735616.3</v>
      </c>
      <c r="H122" s="277">
        <v>35154.800000000003</v>
      </c>
      <c r="I122" s="276">
        <v>147036.75</v>
      </c>
      <c r="J122" s="277">
        <v>0</v>
      </c>
      <c r="K122" s="276">
        <v>131097.29999999999</v>
      </c>
      <c r="L122" s="277">
        <v>0</v>
      </c>
      <c r="M122" s="276">
        <v>107458.2</v>
      </c>
      <c r="N122" s="277">
        <v>0</v>
      </c>
      <c r="O122" s="276">
        <v>102087.25</v>
      </c>
      <c r="P122" s="277">
        <v>0</v>
      </c>
      <c r="Q122" s="276">
        <v>381201.3</v>
      </c>
      <c r="R122" s="276">
        <v>68942.45</v>
      </c>
      <c r="S122" s="276">
        <v>317695.90000000002</v>
      </c>
      <c r="T122" s="277">
        <v>48667.45</v>
      </c>
    </row>
    <row r="123" spans="1:20" ht="14.1" customHeight="1" x14ac:dyDescent="0.25">
      <c r="A123" s="274" t="s">
        <v>218</v>
      </c>
      <c r="B123" s="275" t="s">
        <v>219</v>
      </c>
      <c r="C123" s="276">
        <v>47418.25</v>
      </c>
      <c r="D123" s="277">
        <v>33831.75</v>
      </c>
      <c r="E123" s="276">
        <v>57536.35</v>
      </c>
      <c r="F123" s="277">
        <v>0</v>
      </c>
      <c r="G123" s="276">
        <v>387862.2</v>
      </c>
      <c r="H123" s="277">
        <v>0</v>
      </c>
      <c r="I123" s="276">
        <v>63801.05</v>
      </c>
      <c r="J123" s="277">
        <v>0</v>
      </c>
      <c r="K123" s="276">
        <f>69478.85+1420.3</f>
        <v>70899.150000000009</v>
      </c>
      <c r="L123" s="277">
        <v>0</v>
      </c>
      <c r="M123" s="276">
        <v>26495.95</v>
      </c>
      <c r="N123" s="277">
        <v>0</v>
      </c>
      <c r="O123" s="276">
        <v>74763.75</v>
      </c>
      <c r="P123" s="277">
        <v>0</v>
      </c>
      <c r="Q123" s="276">
        <v>156770.9</v>
      </c>
      <c r="R123" s="276">
        <v>16383.55</v>
      </c>
      <c r="S123" s="276">
        <v>140385.1</v>
      </c>
      <c r="T123" s="277">
        <v>16383.55</v>
      </c>
    </row>
    <row r="124" spans="1:20" ht="14.1" customHeight="1" x14ac:dyDescent="0.25">
      <c r="A124" s="274" t="s">
        <v>220</v>
      </c>
      <c r="B124" s="275" t="s">
        <v>221</v>
      </c>
      <c r="C124" s="276">
        <v>66618.850000000006</v>
      </c>
      <c r="D124" s="277">
        <v>57853.599999999999</v>
      </c>
      <c r="E124" s="276">
        <v>58926.6</v>
      </c>
      <c r="F124" s="277">
        <v>650</v>
      </c>
      <c r="G124" s="276">
        <v>607777.5</v>
      </c>
      <c r="H124" s="277">
        <v>0</v>
      </c>
      <c r="I124" s="276">
        <v>91146.15</v>
      </c>
      <c r="J124" s="277">
        <v>0</v>
      </c>
      <c r="K124" s="276">
        <v>95990.5</v>
      </c>
      <c r="L124" s="277">
        <v>0</v>
      </c>
      <c r="M124" s="276">
        <v>51822.15</v>
      </c>
      <c r="N124" s="277">
        <v>0</v>
      </c>
      <c r="O124" s="276">
        <v>95531.15</v>
      </c>
      <c r="P124" s="277">
        <v>4128.6000000000004</v>
      </c>
      <c r="Q124" s="276">
        <v>135959.15</v>
      </c>
      <c r="R124" s="276">
        <v>18218</v>
      </c>
      <c r="S124" s="276">
        <v>86606.1</v>
      </c>
      <c r="T124" s="277">
        <v>0</v>
      </c>
    </row>
    <row r="125" spans="1:20" ht="14.1" customHeight="1" x14ac:dyDescent="0.25">
      <c r="A125" s="274" t="s">
        <v>222</v>
      </c>
      <c r="B125" s="275" t="s">
        <v>223</v>
      </c>
      <c r="C125" s="276">
        <v>24596.65</v>
      </c>
      <c r="D125" s="277">
        <v>11295</v>
      </c>
      <c r="E125" s="276">
        <v>27707.599999999999</v>
      </c>
      <c r="F125" s="277">
        <v>0</v>
      </c>
      <c r="G125" s="276">
        <v>226964.65</v>
      </c>
      <c r="H125" s="277">
        <v>59550</v>
      </c>
      <c r="I125" s="276">
        <v>43349.85</v>
      </c>
      <c r="J125" s="277">
        <v>0</v>
      </c>
      <c r="K125" s="276">
        <v>44338.5</v>
      </c>
      <c r="L125" s="277">
        <v>0</v>
      </c>
      <c r="M125" s="276">
        <v>23192.75</v>
      </c>
      <c r="N125" s="277">
        <v>0</v>
      </c>
      <c r="O125" s="276">
        <v>38290.35</v>
      </c>
      <c r="P125" s="277">
        <v>1842.45</v>
      </c>
      <c r="Q125" s="276">
        <v>20437.599999999999</v>
      </c>
      <c r="R125" s="276">
        <v>0</v>
      </c>
      <c r="S125" s="276">
        <v>9938.5</v>
      </c>
      <c r="T125" s="277">
        <v>0</v>
      </c>
    </row>
    <row r="126" spans="1:20" ht="14.1" customHeight="1" x14ac:dyDescent="0.25">
      <c r="A126" s="274" t="s">
        <v>224</v>
      </c>
      <c r="B126" s="275" t="s">
        <v>225</v>
      </c>
      <c r="C126" s="276">
        <v>19145.349999999999</v>
      </c>
      <c r="D126" s="277">
        <v>15082.7</v>
      </c>
      <c r="E126" s="276">
        <v>16009.55</v>
      </c>
      <c r="F126" s="277">
        <v>0</v>
      </c>
      <c r="G126" s="276">
        <v>281491.84999999998</v>
      </c>
      <c r="H126" s="277">
        <v>50.1</v>
      </c>
      <c r="I126" s="276">
        <v>22280.5</v>
      </c>
      <c r="J126" s="277">
        <v>0</v>
      </c>
      <c r="K126" s="276">
        <v>23921.45</v>
      </c>
      <c r="L126" s="277">
        <v>0</v>
      </c>
      <c r="M126" s="276">
        <v>29549</v>
      </c>
      <c r="N126" s="277">
        <v>0</v>
      </c>
      <c r="O126" s="276">
        <v>30911.15</v>
      </c>
      <c r="P126" s="277">
        <v>7795.8</v>
      </c>
      <c r="Q126" s="276">
        <v>63238.25</v>
      </c>
      <c r="R126" s="276">
        <v>18830.150000000001</v>
      </c>
      <c r="S126" s="276">
        <v>34456.800000000003</v>
      </c>
      <c r="T126" s="277">
        <v>0</v>
      </c>
    </row>
    <row r="127" spans="1:20" ht="14.1" customHeight="1" x14ac:dyDescent="0.25">
      <c r="A127" s="274" t="s">
        <v>226</v>
      </c>
      <c r="B127" s="275" t="s">
        <v>335</v>
      </c>
      <c r="C127" s="276">
        <v>1192023.9099999999</v>
      </c>
      <c r="D127" s="277">
        <v>1037929.4</v>
      </c>
      <c r="E127" s="276">
        <v>370726.2</v>
      </c>
      <c r="F127" s="277">
        <v>0</v>
      </c>
      <c r="G127" s="276">
        <f>1936348.2+1142298.11+59963.42+125420.75+66242.88</f>
        <v>3330273.36</v>
      </c>
      <c r="H127" s="277">
        <f>163505.1+183912.35+10732.55+24746.5+11564.8</f>
        <v>394461.3</v>
      </c>
      <c r="I127" s="276">
        <v>787688.35</v>
      </c>
      <c r="J127" s="277">
        <v>119310.2</v>
      </c>
      <c r="K127" s="276">
        <v>598340.85</v>
      </c>
      <c r="L127" s="277">
        <v>0</v>
      </c>
      <c r="M127" s="276">
        <v>372583.75</v>
      </c>
      <c r="N127" s="277">
        <v>0</v>
      </c>
      <c r="O127" s="276">
        <v>448249.9</v>
      </c>
      <c r="P127" s="277">
        <v>27430.75</v>
      </c>
      <c r="Q127" s="276">
        <v>942097.5</v>
      </c>
      <c r="R127" s="276">
        <v>158671.29999999999</v>
      </c>
      <c r="S127" s="276">
        <v>318924.40000000002</v>
      </c>
      <c r="T127" s="277">
        <v>26657.5</v>
      </c>
    </row>
    <row r="128" spans="1:20" ht="14.1" customHeight="1" x14ac:dyDescent="0.25">
      <c r="A128" s="274" t="s">
        <v>227</v>
      </c>
      <c r="B128" s="275" t="s">
        <v>228</v>
      </c>
      <c r="C128" s="276">
        <v>47660.35</v>
      </c>
      <c r="D128" s="277">
        <v>27842.95</v>
      </c>
      <c r="E128" s="276">
        <v>59271.05</v>
      </c>
      <c r="F128" s="277">
        <v>0</v>
      </c>
      <c r="G128" s="276">
        <v>366199</v>
      </c>
      <c r="H128" s="277">
        <v>0</v>
      </c>
      <c r="I128" s="276">
        <v>60748.800000000003</v>
      </c>
      <c r="J128" s="277">
        <v>0</v>
      </c>
      <c r="K128" s="276">
        <v>64603.15</v>
      </c>
      <c r="L128" s="277">
        <v>0</v>
      </c>
      <c r="M128" s="276">
        <v>34717.75</v>
      </c>
      <c r="N128" s="277">
        <v>0</v>
      </c>
      <c r="O128" s="276">
        <v>64839.25</v>
      </c>
      <c r="P128" s="277">
        <v>0</v>
      </c>
      <c r="Q128" s="276">
        <v>77645.8</v>
      </c>
      <c r="R128" s="276">
        <v>25683</v>
      </c>
      <c r="S128" s="276">
        <v>34836</v>
      </c>
      <c r="T128" s="277">
        <v>0</v>
      </c>
    </row>
    <row r="129" spans="1:20" ht="14.1" customHeight="1" x14ac:dyDescent="0.25">
      <c r="A129" s="274" t="s">
        <v>229</v>
      </c>
      <c r="B129" s="275" t="s">
        <v>230</v>
      </c>
      <c r="C129" s="276">
        <v>653721.9</v>
      </c>
      <c r="D129" s="277">
        <v>712360.15</v>
      </c>
      <c r="E129" s="276">
        <v>483279.49</v>
      </c>
      <c r="F129" s="277">
        <v>0</v>
      </c>
      <c r="G129" s="276">
        <f>2280745.36+1337593.45+174534.75</f>
        <v>3792873.5599999996</v>
      </c>
      <c r="H129" s="277">
        <f>115744.4+673256.85+9966.9</f>
        <v>798968.15</v>
      </c>
      <c r="I129" s="276">
        <v>967463.7</v>
      </c>
      <c r="J129" s="277">
        <v>125467.55</v>
      </c>
      <c r="K129" s="276">
        <f>725871.1+13418.75</f>
        <v>739289.85</v>
      </c>
      <c r="L129" s="277">
        <v>0</v>
      </c>
      <c r="M129" s="276">
        <v>370113.65</v>
      </c>
      <c r="N129" s="277">
        <v>0</v>
      </c>
      <c r="O129" s="276">
        <v>1134646.18</v>
      </c>
      <c r="P129" s="277">
        <v>500037.65</v>
      </c>
      <c r="Q129" s="276">
        <v>1675111.21</v>
      </c>
      <c r="R129" s="276">
        <v>402634.1</v>
      </c>
      <c r="S129" s="276">
        <v>602927.5</v>
      </c>
      <c r="T129" s="277">
        <v>252960.45</v>
      </c>
    </row>
    <row r="130" spans="1:20" ht="14.1" customHeight="1" x14ac:dyDescent="0.25">
      <c r="A130" s="274" t="s">
        <v>231</v>
      </c>
      <c r="B130" s="275" t="s">
        <v>232</v>
      </c>
      <c r="C130" s="276">
        <v>54962.45</v>
      </c>
      <c r="D130" s="277">
        <v>21285.25</v>
      </c>
      <c r="E130" s="276">
        <v>57576.4</v>
      </c>
      <c r="F130" s="277">
        <v>0</v>
      </c>
      <c r="G130" s="276">
        <v>697602.45</v>
      </c>
      <c r="H130" s="277">
        <v>0</v>
      </c>
      <c r="I130" s="276">
        <v>111848.75</v>
      </c>
      <c r="J130" s="277">
        <v>14242.6</v>
      </c>
      <c r="K130" s="276">
        <v>91869.45</v>
      </c>
      <c r="L130" s="277">
        <v>0</v>
      </c>
      <c r="M130" s="276">
        <v>51319.75</v>
      </c>
      <c r="N130" s="277">
        <v>0</v>
      </c>
      <c r="O130" s="276">
        <v>80659.05</v>
      </c>
      <c r="P130" s="277">
        <v>3702.2</v>
      </c>
      <c r="Q130" s="276">
        <v>105457.85</v>
      </c>
      <c r="R130" s="276">
        <v>42915.5</v>
      </c>
      <c r="S130" s="276">
        <v>59967</v>
      </c>
      <c r="T130" s="277">
        <v>16952.849999999999</v>
      </c>
    </row>
    <row r="131" spans="1:20" ht="14.1" customHeight="1" x14ac:dyDescent="0.25">
      <c r="A131" s="274" t="s">
        <v>233</v>
      </c>
      <c r="B131" s="275" t="s">
        <v>234</v>
      </c>
      <c r="C131" s="276">
        <v>14725.3</v>
      </c>
      <c r="D131" s="277">
        <v>5529.75</v>
      </c>
      <c r="E131" s="276">
        <v>26448.7</v>
      </c>
      <c r="F131" s="277">
        <v>1290.3</v>
      </c>
      <c r="G131" s="276">
        <v>152968.54999999999</v>
      </c>
      <c r="H131" s="277">
        <v>3761.8</v>
      </c>
      <c r="I131" s="276">
        <v>25639.45</v>
      </c>
      <c r="J131" s="277">
        <v>0</v>
      </c>
      <c r="K131" s="276">
        <v>27730.6</v>
      </c>
      <c r="L131" s="277">
        <v>0</v>
      </c>
      <c r="M131" s="276">
        <v>14305.95</v>
      </c>
      <c r="N131" s="277">
        <v>0</v>
      </c>
      <c r="O131" s="276">
        <v>23702.400000000001</v>
      </c>
      <c r="P131" s="277">
        <v>1291.7</v>
      </c>
      <c r="Q131" s="276">
        <v>40592.5</v>
      </c>
      <c r="R131" s="276">
        <v>25360.35</v>
      </c>
      <c r="S131" s="276">
        <v>11945.2</v>
      </c>
      <c r="T131" s="277">
        <v>1634.15</v>
      </c>
    </row>
    <row r="132" spans="1:20" ht="14.1" customHeight="1" x14ac:dyDescent="0.25">
      <c r="A132" s="274" t="s">
        <v>235</v>
      </c>
      <c r="B132" s="275" t="s">
        <v>236</v>
      </c>
      <c r="C132" s="276">
        <v>63775.95</v>
      </c>
      <c r="D132" s="277">
        <v>69107.899999999994</v>
      </c>
      <c r="E132" s="276">
        <v>57962.15</v>
      </c>
      <c r="F132" s="277">
        <v>0</v>
      </c>
      <c r="G132" s="276">
        <v>739634.15</v>
      </c>
      <c r="H132" s="277">
        <v>350</v>
      </c>
      <c r="I132" s="276">
        <v>84470.6</v>
      </c>
      <c r="J132" s="277">
        <v>0</v>
      </c>
      <c r="K132" s="276">
        <v>103347.15</v>
      </c>
      <c r="L132" s="277">
        <v>0</v>
      </c>
      <c r="M132" s="276">
        <v>61480.35</v>
      </c>
      <c r="N132" s="277">
        <v>0</v>
      </c>
      <c r="O132" s="276">
        <v>100472.2</v>
      </c>
      <c r="P132" s="277">
        <v>25907.45</v>
      </c>
      <c r="Q132" s="276">
        <v>201882.65</v>
      </c>
      <c r="R132" s="276">
        <v>26341.3</v>
      </c>
      <c r="S132" s="276">
        <v>139642.95000000001</v>
      </c>
      <c r="T132" s="277">
        <v>5963</v>
      </c>
    </row>
    <row r="133" spans="1:20" ht="14.1" customHeight="1" x14ac:dyDescent="0.25">
      <c r="A133" s="274" t="s">
        <v>237</v>
      </c>
      <c r="B133" s="275" t="s">
        <v>238</v>
      </c>
      <c r="C133" s="276">
        <v>176114.6</v>
      </c>
      <c r="D133" s="277">
        <v>34978.15</v>
      </c>
      <c r="E133" s="276">
        <v>150354.35</v>
      </c>
      <c r="F133" s="277">
        <v>0</v>
      </c>
      <c r="G133" s="276">
        <f>1659383.75+30930</f>
        <v>1690313.75</v>
      </c>
      <c r="H133" s="277">
        <v>475414.5</v>
      </c>
      <c r="I133" s="276">
        <v>265665.3</v>
      </c>
      <c r="J133" s="277">
        <v>0</v>
      </c>
      <c r="K133" s="276">
        <f>249118.25+5708.55</f>
        <v>254826.8</v>
      </c>
      <c r="L133" s="277">
        <v>0</v>
      </c>
      <c r="M133" s="276">
        <v>113900.7</v>
      </c>
      <c r="N133" s="277">
        <v>0</v>
      </c>
      <c r="O133" s="276">
        <v>206487.7</v>
      </c>
      <c r="P133" s="277">
        <v>9144.15</v>
      </c>
      <c r="Q133" s="276">
        <v>380264.45</v>
      </c>
      <c r="R133" s="276">
        <v>22401.200000000001</v>
      </c>
      <c r="S133" s="276">
        <v>334173.84999999998</v>
      </c>
      <c r="T133" s="277">
        <v>10672.2</v>
      </c>
    </row>
    <row r="134" spans="1:20" ht="14.1" customHeight="1" x14ac:dyDescent="0.25">
      <c r="A134" s="274" t="s">
        <v>239</v>
      </c>
      <c r="B134" s="275" t="s">
        <v>240</v>
      </c>
      <c r="C134" s="276">
        <v>125045.5</v>
      </c>
      <c r="D134" s="277">
        <v>91399.4</v>
      </c>
      <c r="E134" s="276">
        <v>106247.65</v>
      </c>
      <c r="F134" s="277">
        <v>0</v>
      </c>
      <c r="G134" s="276">
        <v>1117304.2</v>
      </c>
      <c r="H134" s="277">
        <v>149.6</v>
      </c>
      <c r="I134" s="276">
        <v>134628.04999999999</v>
      </c>
      <c r="J134" s="277">
        <v>0</v>
      </c>
      <c r="K134" s="276">
        <v>255667.28</v>
      </c>
      <c r="L134" s="277">
        <v>1813.35</v>
      </c>
      <c r="M134" s="276">
        <v>100</v>
      </c>
      <c r="N134" s="277">
        <v>0</v>
      </c>
      <c r="O134" s="276">
        <v>130036.2</v>
      </c>
      <c r="P134" s="277">
        <v>5977.4</v>
      </c>
      <c r="Q134" s="276">
        <v>370320.7</v>
      </c>
      <c r="R134" s="276">
        <v>107457.15</v>
      </c>
      <c r="S134" s="276">
        <v>286142.5</v>
      </c>
      <c r="T134" s="277">
        <v>85425.7</v>
      </c>
    </row>
    <row r="135" spans="1:20" ht="14.1" customHeight="1" x14ac:dyDescent="0.25">
      <c r="A135" s="274" t="s">
        <v>241</v>
      </c>
      <c r="B135" s="275" t="s">
        <v>242</v>
      </c>
      <c r="C135" s="276">
        <v>1234515.3999999999</v>
      </c>
      <c r="D135" s="277">
        <v>748516.93</v>
      </c>
      <c r="E135" s="276">
        <v>806142.15</v>
      </c>
      <c r="F135" s="277">
        <v>0</v>
      </c>
      <c r="G135" s="276">
        <v>5880462.9000000004</v>
      </c>
      <c r="H135" s="277">
        <v>1619513.92</v>
      </c>
      <c r="I135" s="276">
        <v>1461478.6</v>
      </c>
      <c r="J135" s="277">
        <v>254139.05</v>
      </c>
      <c r="K135" s="276">
        <v>1103111.5</v>
      </c>
      <c r="L135" s="277">
        <v>0</v>
      </c>
      <c r="M135" s="276">
        <v>583296.44999999995</v>
      </c>
      <c r="N135" s="277">
        <v>0</v>
      </c>
      <c r="O135" s="276">
        <v>1726678.55</v>
      </c>
      <c r="P135" s="277">
        <v>923698.35</v>
      </c>
      <c r="Q135" s="276">
        <v>4305402.8600000003</v>
      </c>
      <c r="R135" s="276">
        <v>2597351.2000000002</v>
      </c>
      <c r="S135" s="276">
        <v>3593960.85</v>
      </c>
      <c r="T135" s="277">
        <v>2252447.6</v>
      </c>
    </row>
    <row r="136" spans="1:20" ht="14.1" customHeight="1" x14ac:dyDescent="0.25">
      <c r="A136" s="274" t="s">
        <v>243</v>
      </c>
      <c r="B136" s="275" t="s">
        <v>309</v>
      </c>
      <c r="C136" s="276">
        <v>75411.05</v>
      </c>
      <c r="D136" s="277">
        <v>30957.4</v>
      </c>
      <c r="E136" s="276">
        <v>98564.6</v>
      </c>
      <c r="F136" s="277">
        <v>0</v>
      </c>
      <c r="G136" s="276">
        <v>948080.6</v>
      </c>
      <c r="H136" s="277">
        <v>13210</v>
      </c>
      <c r="I136" s="276">
        <v>153016.45000000001</v>
      </c>
      <c r="J136" s="277">
        <v>0</v>
      </c>
      <c r="K136" s="276">
        <v>156784.5</v>
      </c>
      <c r="L136" s="277">
        <v>0</v>
      </c>
      <c r="M136" s="276">
        <v>108649.3</v>
      </c>
      <c r="N136" s="277">
        <v>0</v>
      </c>
      <c r="O136" s="276">
        <v>129769.85</v>
      </c>
      <c r="P136" s="277">
        <v>0</v>
      </c>
      <c r="Q136" s="276">
        <v>207162.35</v>
      </c>
      <c r="R136" s="276">
        <v>49940</v>
      </c>
      <c r="S136" s="276">
        <v>125746.65</v>
      </c>
      <c r="T136" s="277">
        <v>200</v>
      </c>
    </row>
    <row r="137" spans="1:20" ht="14.1" customHeight="1" x14ac:dyDescent="0.25">
      <c r="A137" s="274" t="s">
        <v>244</v>
      </c>
      <c r="B137" s="275" t="s">
        <v>245</v>
      </c>
      <c r="C137" s="276">
        <v>138855.95000000001</v>
      </c>
      <c r="D137" s="277">
        <v>107924.25</v>
      </c>
      <c r="E137" s="276">
        <v>98749.8</v>
      </c>
      <c r="F137" s="277">
        <v>35785.199999999997</v>
      </c>
      <c r="G137" s="276">
        <v>447405.95</v>
      </c>
      <c r="H137" s="277">
        <v>73887.95</v>
      </c>
      <c r="I137" s="276">
        <v>72599.600000000006</v>
      </c>
      <c r="J137" s="277">
        <v>0</v>
      </c>
      <c r="K137" s="276">
        <v>76487.7</v>
      </c>
      <c r="L137" s="277">
        <v>0</v>
      </c>
      <c r="M137" s="276">
        <v>47906.65</v>
      </c>
      <c r="N137" s="277">
        <v>0</v>
      </c>
      <c r="O137" s="276">
        <v>63994</v>
      </c>
      <c r="P137" s="277">
        <v>3437.4</v>
      </c>
      <c r="Q137" s="276">
        <v>85854.2</v>
      </c>
      <c r="R137" s="276">
        <v>24944.85</v>
      </c>
      <c r="S137" s="276">
        <v>43833</v>
      </c>
      <c r="T137" s="277">
        <v>1218.6500000000001</v>
      </c>
    </row>
    <row r="138" spans="1:20" ht="14.1" customHeight="1" x14ac:dyDescent="0.25">
      <c r="A138" s="274" t="s">
        <v>246</v>
      </c>
      <c r="B138" s="275" t="s">
        <v>247</v>
      </c>
      <c r="C138" s="276">
        <v>28697.45</v>
      </c>
      <c r="D138" s="277">
        <v>12763.64</v>
      </c>
      <c r="E138" s="276">
        <v>38962.9</v>
      </c>
      <c r="F138" s="277">
        <v>0</v>
      </c>
      <c r="G138" s="276">
        <v>290224.3</v>
      </c>
      <c r="H138" s="277">
        <v>0</v>
      </c>
      <c r="I138" s="276">
        <v>63467.35</v>
      </c>
      <c r="J138" s="277">
        <v>0</v>
      </c>
      <c r="K138" s="276">
        <v>62566.2</v>
      </c>
      <c r="L138" s="277">
        <v>0</v>
      </c>
      <c r="M138" s="276">
        <v>40669.1</v>
      </c>
      <c r="N138" s="277">
        <v>0</v>
      </c>
      <c r="O138" s="276">
        <v>52376.55</v>
      </c>
      <c r="P138" s="277">
        <v>4418.55</v>
      </c>
      <c r="Q138" s="276">
        <v>70915.199999999997</v>
      </c>
      <c r="R138" s="276">
        <v>13635</v>
      </c>
      <c r="S138" s="276">
        <v>47123.3</v>
      </c>
      <c r="T138" s="277">
        <v>6700</v>
      </c>
    </row>
    <row r="139" spans="1:20" ht="14.1" customHeight="1" x14ac:dyDescent="0.25">
      <c r="A139" s="274" t="s">
        <v>248</v>
      </c>
      <c r="B139" s="275" t="s">
        <v>249</v>
      </c>
      <c r="C139" s="276">
        <v>74851.350000000006</v>
      </c>
      <c r="D139" s="277">
        <v>23399.95</v>
      </c>
      <c r="E139" s="276">
        <v>54490.15</v>
      </c>
      <c r="F139" s="277">
        <v>0</v>
      </c>
      <c r="G139" s="276">
        <v>551012.44999999995</v>
      </c>
      <c r="H139" s="277">
        <v>14873.5</v>
      </c>
      <c r="I139" s="276">
        <v>101682.35</v>
      </c>
      <c r="J139" s="277">
        <v>0</v>
      </c>
      <c r="K139" s="276">
        <v>104583.2</v>
      </c>
      <c r="L139" s="277">
        <v>0</v>
      </c>
      <c r="M139" s="276">
        <v>44829.75</v>
      </c>
      <c r="N139" s="277">
        <v>0</v>
      </c>
      <c r="O139" s="276">
        <v>74723.8</v>
      </c>
      <c r="P139" s="277">
        <v>2953.72</v>
      </c>
      <c r="Q139" s="276">
        <v>124942.39999999999</v>
      </c>
      <c r="R139" s="276">
        <v>12513.05</v>
      </c>
      <c r="S139" s="276">
        <v>104525.9</v>
      </c>
      <c r="T139" s="277">
        <v>1635.05</v>
      </c>
    </row>
    <row r="140" spans="1:20" ht="14.1" customHeight="1" x14ac:dyDescent="0.25">
      <c r="A140" s="274" t="s">
        <v>250</v>
      </c>
      <c r="B140" s="275" t="s">
        <v>251</v>
      </c>
      <c r="C140" s="276">
        <v>139077.1</v>
      </c>
      <c r="D140" s="277">
        <v>80615.7</v>
      </c>
      <c r="E140" s="276">
        <v>192017.6</v>
      </c>
      <c r="F140" s="277">
        <v>0</v>
      </c>
      <c r="G140" s="276">
        <v>1410857.2</v>
      </c>
      <c r="H140" s="277">
        <v>26608.7</v>
      </c>
      <c r="I140" s="276">
        <v>334334.3</v>
      </c>
      <c r="J140" s="277">
        <v>0</v>
      </c>
      <c r="K140" s="276">
        <v>314864.5</v>
      </c>
      <c r="L140" s="277">
        <v>0</v>
      </c>
      <c r="M140" s="276">
        <v>171996.6</v>
      </c>
      <c r="N140" s="277">
        <v>0</v>
      </c>
      <c r="O140" s="276">
        <v>260048.65</v>
      </c>
      <c r="P140" s="277">
        <v>0</v>
      </c>
      <c r="Q140" s="276">
        <v>641291.88</v>
      </c>
      <c r="R140" s="276">
        <v>148251.4</v>
      </c>
      <c r="S140" s="276">
        <v>532342.98</v>
      </c>
      <c r="T140" s="277">
        <v>113596.4</v>
      </c>
    </row>
    <row r="141" spans="1:20" ht="14.1" customHeight="1" x14ac:dyDescent="0.25">
      <c r="A141" s="274" t="s">
        <v>252</v>
      </c>
      <c r="B141" s="275" t="s">
        <v>253</v>
      </c>
      <c r="C141" s="276">
        <v>114575.5</v>
      </c>
      <c r="D141" s="277">
        <v>39785.699999999997</v>
      </c>
      <c r="E141" s="276">
        <v>131740.9</v>
      </c>
      <c r="F141" s="277">
        <v>0</v>
      </c>
      <c r="G141" s="276">
        <v>953566.45</v>
      </c>
      <c r="H141" s="277">
        <v>7802</v>
      </c>
      <c r="I141" s="276">
        <v>225360.9</v>
      </c>
      <c r="J141" s="277">
        <v>0</v>
      </c>
      <c r="K141" s="276">
        <v>208436.55</v>
      </c>
      <c r="L141" s="277">
        <v>0</v>
      </c>
      <c r="M141" s="276">
        <v>139400.04999999999</v>
      </c>
      <c r="N141" s="277">
        <v>0</v>
      </c>
      <c r="O141" s="276">
        <v>161737.4</v>
      </c>
      <c r="P141" s="277">
        <v>9674</v>
      </c>
      <c r="Q141" s="276">
        <v>626511.65</v>
      </c>
      <c r="R141" s="276">
        <v>27276.85</v>
      </c>
      <c r="S141" s="276">
        <v>577926.15</v>
      </c>
      <c r="T141" s="277">
        <v>6976.85</v>
      </c>
    </row>
    <row r="142" spans="1:20" ht="14.1" customHeight="1" x14ac:dyDescent="0.25">
      <c r="A142" s="278" t="s">
        <v>254</v>
      </c>
      <c r="B142" s="279" t="s">
        <v>255</v>
      </c>
      <c r="C142" s="280">
        <v>106743.85</v>
      </c>
      <c r="D142" s="281">
        <v>34978.050000000003</v>
      </c>
      <c r="E142" s="280">
        <v>44170.75</v>
      </c>
      <c r="F142" s="281">
        <v>0</v>
      </c>
      <c r="G142" s="280">
        <v>457710.75</v>
      </c>
      <c r="H142" s="281">
        <v>35390</v>
      </c>
      <c r="I142" s="280">
        <v>75976.95</v>
      </c>
      <c r="J142" s="281">
        <v>0</v>
      </c>
      <c r="K142" s="280">
        <v>69966.649999999994</v>
      </c>
      <c r="L142" s="281">
        <v>0</v>
      </c>
      <c r="M142" s="280">
        <v>34454.25</v>
      </c>
      <c r="N142" s="281">
        <v>0</v>
      </c>
      <c r="O142" s="280">
        <v>12390.35</v>
      </c>
      <c r="P142" s="281">
        <v>0</v>
      </c>
      <c r="Q142" s="280">
        <v>133709.75</v>
      </c>
      <c r="R142" s="280">
        <v>50369</v>
      </c>
      <c r="S142" s="280">
        <v>105303.05</v>
      </c>
      <c r="T142" s="281">
        <v>39676</v>
      </c>
    </row>
    <row r="143" spans="1:20" ht="14.1" customHeight="1" x14ac:dyDescent="0.25">
      <c r="A143" s="274" t="s">
        <v>256</v>
      </c>
      <c r="B143" s="275" t="s">
        <v>336</v>
      </c>
      <c r="C143" s="276">
        <v>142458.20000000001</v>
      </c>
      <c r="D143" s="277">
        <v>77149.05</v>
      </c>
      <c r="E143" s="276">
        <v>198877.15</v>
      </c>
      <c r="F143" s="277">
        <v>4600</v>
      </c>
      <c r="G143" s="276">
        <v>1353364.65</v>
      </c>
      <c r="H143" s="277">
        <v>13800</v>
      </c>
      <c r="I143" s="276">
        <v>361335</v>
      </c>
      <c r="J143" s="277">
        <v>33140.85</v>
      </c>
      <c r="K143" s="276">
        <f>303817.6+29381.45</f>
        <v>333199.05</v>
      </c>
      <c r="L143" s="277">
        <v>0</v>
      </c>
      <c r="M143" s="276">
        <v>188063.55</v>
      </c>
      <c r="N143" s="277">
        <v>0</v>
      </c>
      <c r="O143" s="276">
        <v>166351.4</v>
      </c>
      <c r="P143" s="277">
        <v>0</v>
      </c>
      <c r="Q143" s="276">
        <v>335532.90000000002</v>
      </c>
      <c r="R143" s="276">
        <v>81067.95</v>
      </c>
      <c r="S143" s="276">
        <v>201931.7</v>
      </c>
      <c r="T143" s="277">
        <v>15357.95</v>
      </c>
    </row>
    <row r="144" spans="1:20" ht="14.1" customHeight="1" x14ac:dyDescent="0.25">
      <c r="A144" s="274" t="s">
        <v>257</v>
      </c>
      <c r="B144" s="275" t="s">
        <v>258</v>
      </c>
      <c r="C144" s="276">
        <v>52586.8</v>
      </c>
      <c r="D144" s="277">
        <v>37285.199999999997</v>
      </c>
      <c r="E144" s="276">
        <v>90725.7</v>
      </c>
      <c r="F144" s="277">
        <v>0</v>
      </c>
      <c r="G144" s="276">
        <v>458289.7</v>
      </c>
      <c r="H144" s="277">
        <v>20300</v>
      </c>
      <c r="I144" s="276">
        <v>108865.7</v>
      </c>
      <c r="J144" s="277">
        <v>0</v>
      </c>
      <c r="K144" s="276">
        <f>99037.85+41381.25</f>
        <v>140419.1</v>
      </c>
      <c r="L144" s="277">
        <v>0</v>
      </c>
      <c r="M144" s="276">
        <v>43087.8</v>
      </c>
      <c r="N144" s="277">
        <v>0</v>
      </c>
      <c r="O144" s="276">
        <v>96187.55</v>
      </c>
      <c r="P144" s="277">
        <v>0</v>
      </c>
      <c r="Q144" s="276">
        <v>121340.61</v>
      </c>
      <c r="R144" s="276">
        <v>26165</v>
      </c>
      <c r="S144" s="276">
        <v>67415.33</v>
      </c>
      <c r="T144" s="277">
        <v>2125</v>
      </c>
    </row>
    <row r="145" spans="1:20" ht="14.1" customHeight="1" x14ac:dyDescent="0.25">
      <c r="A145" s="274" t="s">
        <v>259</v>
      </c>
      <c r="B145" s="275" t="s">
        <v>260</v>
      </c>
      <c r="C145" s="276">
        <v>1089264.05</v>
      </c>
      <c r="D145" s="277">
        <v>711999.35</v>
      </c>
      <c r="E145" s="276">
        <v>739108.75</v>
      </c>
      <c r="F145" s="277">
        <v>0</v>
      </c>
      <c r="G145" s="276">
        <v>5827863.9000000004</v>
      </c>
      <c r="H145" s="277">
        <v>0</v>
      </c>
      <c r="I145" s="276">
        <v>1383350.32</v>
      </c>
      <c r="J145" s="277">
        <v>179540.25</v>
      </c>
      <c r="K145" s="276">
        <v>1665351.43</v>
      </c>
      <c r="L145" s="277">
        <v>0</v>
      </c>
      <c r="M145" s="276">
        <v>907629.62</v>
      </c>
      <c r="N145" s="277">
        <v>0</v>
      </c>
      <c r="O145" s="276">
        <v>2703080.17</v>
      </c>
      <c r="P145" s="277">
        <v>1751483.65</v>
      </c>
      <c r="Q145" s="276">
        <v>3323336.9</v>
      </c>
      <c r="R145" s="276">
        <v>860453.96</v>
      </c>
      <c r="S145" s="276">
        <v>2426962.5</v>
      </c>
      <c r="T145" s="277">
        <v>710125.85</v>
      </c>
    </row>
    <row r="146" spans="1:20" ht="14.1" customHeight="1" x14ac:dyDescent="0.25">
      <c r="A146" s="274" t="s">
        <v>261</v>
      </c>
      <c r="B146" s="275" t="s">
        <v>262</v>
      </c>
      <c r="C146" s="276">
        <v>202743.6</v>
      </c>
      <c r="D146" s="277">
        <v>111726.8</v>
      </c>
      <c r="E146" s="276">
        <v>140963.29999999999</v>
      </c>
      <c r="F146" s="277">
        <v>0</v>
      </c>
      <c r="G146" s="276">
        <f>736941.25+382467.15</f>
        <v>1119408.3999999999</v>
      </c>
      <c r="H146" s="277">
        <v>74896.350000000006</v>
      </c>
      <c r="I146" s="276">
        <v>311387.45</v>
      </c>
      <c r="J146" s="277">
        <v>80269.8</v>
      </c>
      <c r="K146" s="276">
        <f>237878.75+22199.5</f>
        <v>260078.25</v>
      </c>
      <c r="L146" s="277">
        <v>2263.6999999999998</v>
      </c>
      <c r="M146" s="276">
        <v>107461.7</v>
      </c>
      <c r="N146" s="277">
        <v>0</v>
      </c>
      <c r="O146" s="276">
        <v>234145.15</v>
      </c>
      <c r="P146" s="277">
        <v>26705.75</v>
      </c>
      <c r="Q146" s="276">
        <v>646636.6</v>
      </c>
      <c r="R146" s="276">
        <v>198546.55</v>
      </c>
      <c r="S146" s="276">
        <v>501650.55</v>
      </c>
      <c r="T146" s="277">
        <v>151164.35</v>
      </c>
    </row>
    <row r="147" spans="1:20" ht="14.1" customHeight="1" x14ac:dyDescent="0.25">
      <c r="A147" s="274" t="s">
        <v>263</v>
      </c>
      <c r="B147" s="275" t="s">
        <v>264</v>
      </c>
      <c r="C147" s="276">
        <v>217160.99</v>
      </c>
      <c r="D147" s="277">
        <v>83319.05</v>
      </c>
      <c r="E147" s="276">
        <v>322474.3</v>
      </c>
      <c r="F147" s="277">
        <v>0</v>
      </c>
      <c r="G147" s="276">
        <f>1434737.16+931414</f>
        <v>2366151.16</v>
      </c>
      <c r="H147" s="277">
        <v>0</v>
      </c>
      <c r="I147" s="277">
        <v>645337.30000000005</v>
      </c>
      <c r="J147" s="276">
        <v>70018.600000000006</v>
      </c>
      <c r="K147" s="276">
        <v>723622.84</v>
      </c>
      <c r="L147" s="277">
        <v>0</v>
      </c>
      <c r="M147" s="276">
        <v>274690.05</v>
      </c>
      <c r="N147" s="277">
        <v>0</v>
      </c>
      <c r="O147" s="276">
        <v>773093.08</v>
      </c>
      <c r="P147" s="277">
        <v>289701.15000000002</v>
      </c>
      <c r="Q147" s="276">
        <v>688888.02</v>
      </c>
      <c r="R147" s="276">
        <v>276920.45</v>
      </c>
      <c r="S147" s="276">
        <v>106896.55</v>
      </c>
      <c r="T147" s="277">
        <v>2762.75</v>
      </c>
    </row>
    <row r="148" spans="1:20" ht="14.1" customHeight="1" x14ac:dyDescent="0.25">
      <c r="A148" s="274" t="s">
        <v>265</v>
      </c>
      <c r="B148" s="275" t="s">
        <v>266</v>
      </c>
      <c r="C148" s="276">
        <v>89743.15</v>
      </c>
      <c r="D148" s="277">
        <v>35111.800000000003</v>
      </c>
      <c r="E148" s="276">
        <v>130083.6</v>
      </c>
      <c r="F148" s="277">
        <v>0</v>
      </c>
      <c r="G148" s="276">
        <v>1071422.3600000001</v>
      </c>
      <c r="H148" s="277">
        <v>87698.85</v>
      </c>
      <c r="I148" s="276">
        <v>282525</v>
      </c>
      <c r="J148" s="277">
        <v>38403.85</v>
      </c>
      <c r="K148" s="276">
        <f>216531.35+27237.2</f>
        <v>243768.55000000002</v>
      </c>
      <c r="L148" s="277">
        <f>4118.6+7237.2</f>
        <v>11355.8</v>
      </c>
      <c r="M148" s="276">
        <v>62695.07</v>
      </c>
      <c r="N148" s="277">
        <v>0</v>
      </c>
      <c r="O148" s="276">
        <v>169694.25</v>
      </c>
      <c r="P148" s="277">
        <v>12917.1</v>
      </c>
      <c r="Q148" s="276">
        <v>303878.95</v>
      </c>
      <c r="R148" s="276">
        <v>40687.800000000003</v>
      </c>
      <c r="S148" s="276">
        <v>164395.45000000001</v>
      </c>
      <c r="T148" s="277">
        <v>2017.8</v>
      </c>
    </row>
    <row r="149" spans="1:20" ht="14.1" customHeight="1" x14ac:dyDescent="0.25">
      <c r="A149" s="274" t="s">
        <v>267</v>
      </c>
      <c r="B149" s="275" t="s">
        <v>268</v>
      </c>
      <c r="C149" s="276">
        <v>92634.3</v>
      </c>
      <c r="D149" s="277">
        <v>35862.85</v>
      </c>
      <c r="E149" s="276">
        <v>109944.8</v>
      </c>
      <c r="F149" s="277">
        <v>0</v>
      </c>
      <c r="G149" s="276">
        <v>1049831.8</v>
      </c>
      <c r="H149" s="277">
        <v>0</v>
      </c>
      <c r="I149" s="276">
        <v>195093.45</v>
      </c>
      <c r="J149" s="277">
        <v>0</v>
      </c>
      <c r="K149" s="276">
        <f>188713.44+45395</f>
        <v>234108.44</v>
      </c>
      <c r="L149" s="277">
        <v>0</v>
      </c>
      <c r="M149" s="276">
        <v>67576.570000000007</v>
      </c>
      <c r="N149" s="277">
        <v>0</v>
      </c>
      <c r="O149" s="276">
        <v>176830.95</v>
      </c>
      <c r="P149" s="277">
        <v>1958.8</v>
      </c>
      <c r="Q149" s="276">
        <v>293793.40000000002</v>
      </c>
      <c r="R149" s="276">
        <v>14332.35</v>
      </c>
      <c r="S149" s="276">
        <v>243250.6</v>
      </c>
      <c r="T149" s="277">
        <v>14332.35</v>
      </c>
    </row>
    <row r="150" spans="1:20" ht="14.1" customHeight="1" x14ac:dyDescent="0.25">
      <c r="A150" s="274" t="s">
        <v>269</v>
      </c>
      <c r="B150" s="275" t="s">
        <v>270</v>
      </c>
      <c r="C150" s="276">
        <v>735234.97</v>
      </c>
      <c r="D150" s="277">
        <v>442968.41</v>
      </c>
      <c r="E150" s="276">
        <v>183627.05</v>
      </c>
      <c r="F150" s="277">
        <v>0</v>
      </c>
      <c r="G150" s="276">
        <v>2482141.0099999998</v>
      </c>
      <c r="H150" s="277">
        <v>792290.73</v>
      </c>
      <c r="I150" s="276">
        <v>512379.95</v>
      </c>
      <c r="J150" s="277">
        <v>191625.85</v>
      </c>
      <c r="K150" s="276">
        <v>404023.67</v>
      </c>
      <c r="L150" s="277">
        <v>0</v>
      </c>
      <c r="M150" s="276">
        <v>210631.08</v>
      </c>
      <c r="N150" s="277">
        <v>0</v>
      </c>
      <c r="O150" s="276">
        <v>309555.05</v>
      </c>
      <c r="P150" s="277">
        <v>18823.849999999999</v>
      </c>
      <c r="Q150" s="276">
        <v>1538118.76</v>
      </c>
      <c r="R150" s="276">
        <v>790517.46</v>
      </c>
      <c r="S150" s="276">
        <v>1401439.11</v>
      </c>
      <c r="T150" s="277">
        <v>735224.46</v>
      </c>
    </row>
    <row r="151" spans="1:20" ht="14.1" customHeight="1" x14ac:dyDescent="0.25">
      <c r="A151" s="274" t="s">
        <v>271</v>
      </c>
      <c r="B151" s="275" t="s">
        <v>272</v>
      </c>
      <c r="C151" s="276">
        <v>135403</v>
      </c>
      <c r="D151" s="277">
        <v>18045</v>
      </c>
      <c r="E151" s="276">
        <v>98239.15</v>
      </c>
      <c r="F151" s="277">
        <v>0</v>
      </c>
      <c r="G151" s="276">
        <v>718779.35</v>
      </c>
      <c r="H151" s="277">
        <v>17699.55</v>
      </c>
      <c r="I151" s="276">
        <v>170912.8</v>
      </c>
      <c r="J151" s="277">
        <v>0</v>
      </c>
      <c r="K151" s="276">
        <f>163078.64+35823.75</f>
        <v>198902.39</v>
      </c>
      <c r="L151" s="277">
        <v>1884.06</v>
      </c>
      <c r="M151" s="276">
        <v>90626.5</v>
      </c>
      <c r="N151" s="277">
        <v>1592.49</v>
      </c>
      <c r="O151" s="276">
        <v>166075.20000000001</v>
      </c>
      <c r="P151" s="277">
        <v>11018.05</v>
      </c>
      <c r="Q151" s="276">
        <v>542624.15</v>
      </c>
      <c r="R151" s="276">
        <v>241231.8</v>
      </c>
      <c r="S151" s="276">
        <v>462204.45</v>
      </c>
      <c r="T151" s="277">
        <v>193320.8</v>
      </c>
    </row>
    <row r="152" spans="1:20" ht="14.1" customHeight="1" x14ac:dyDescent="0.25">
      <c r="A152" s="274" t="s">
        <v>273</v>
      </c>
      <c r="B152" s="275" t="s">
        <v>274</v>
      </c>
      <c r="C152" s="276">
        <v>100074.25</v>
      </c>
      <c r="D152" s="277">
        <v>30297.5</v>
      </c>
      <c r="E152" s="276">
        <v>109402.65</v>
      </c>
      <c r="F152" s="277">
        <v>29400</v>
      </c>
      <c r="G152" s="276">
        <v>770976.81</v>
      </c>
      <c r="H152" s="277">
        <v>15032</v>
      </c>
      <c r="I152" s="276">
        <v>207948.65</v>
      </c>
      <c r="J152" s="277">
        <v>23211.3</v>
      </c>
      <c r="K152" s="276">
        <f>177888.15+3466.45</f>
        <v>181354.6</v>
      </c>
      <c r="L152" s="277">
        <v>3811.5</v>
      </c>
      <c r="M152" s="276">
        <v>123389.15</v>
      </c>
      <c r="N152" s="277">
        <v>0</v>
      </c>
      <c r="O152" s="276">
        <v>158801.15</v>
      </c>
      <c r="P152" s="277">
        <v>0</v>
      </c>
      <c r="Q152" s="276">
        <v>223383.84</v>
      </c>
      <c r="R152" s="276">
        <v>34114.9</v>
      </c>
      <c r="S152" s="276">
        <v>163811.39000000001</v>
      </c>
      <c r="T152" s="277">
        <v>9067.9</v>
      </c>
    </row>
    <row r="153" spans="1:20" ht="14.1" customHeight="1" x14ac:dyDescent="0.25">
      <c r="A153" s="274" t="s">
        <v>275</v>
      </c>
      <c r="B153" s="275" t="s">
        <v>276</v>
      </c>
      <c r="C153" s="276">
        <v>126073.2</v>
      </c>
      <c r="D153" s="277">
        <v>38543.25</v>
      </c>
      <c r="E153" s="276">
        <v>192344.7</v>
      </c>
      <c r="F153" s="277">
        <v>0</v>
      </c>
      <c r="G153" s="277">
        <v>1512247.7</v>
      </c>
      <c r="H153" s="276">
        <v>21725.25</v>
      </c>
      <c r="I153" s="276">
        <v>367720.3</v>
      </c>
      <c r="J153" s="277">
        <v>45240.1</v>
      </c>
      <c r="K153" s="276">
        <f>309611.85+31530.45</f>
        <v>341142.3</v>
      </c>
      <c r="L153" s="277">
        <v>0</v>
      </c>
      <c r="M153" s="276">
        <v>175077.51</v>
      </c>
      <c r="N153" s="277">
        <v>0</v>
      </c>
      <c r="O153" s="276">
        <v>184370.5</v>
      </c>
      <c r="P153" s="277">
        <v>0</v>
      </c>
      <c r="Q153" s="276">
        <v>602628.15</v>
      </c>
      <c r="R153" s="276">
        <v>85776.55</v>
      </c>
      <c r="S153" s="276">
        <v>479888.05</v>
      </c>
      <c r="T153" s="277">
        <v>12657.55</v>
      </c>
    </row>
    <row r="154" spans="1:20" ht="14.1" customHeight="1" x14ac:dyDescent="0.25">
      <c r="A154" s="274" t="s">
        <v>277</v>
      </c>
      <c r="B154" s="275" t="s">
        <v>278</v>
      </c>
      <c r="C154" s="276">
        <v>86709.1</v>
      </c>
      <c r="D154" s="277">
        <v>35028.550000000003</v>
      </c>
      <c r="E154" s="276">
        <v>84044.15</v>
      </c>
      <c r="F154" s="277">
        <v>0</v>
      </c>
      <c r="G154" s="276">
        <v>630803.85</v>
      </c>
      <c r="H154" s="277">
        <v>10301.6</v>
      </c>
      <c r="I154" s="276">
        <v>175563.6</v>
      </c>
      <c r="J154" s="277">
        <v>9795.9</v>
      </c>
      <c r="K154" s="276">
        <f>145470.1+3958.4</f>
        <v>149428.5</v>
      </c>
      <c r="L154" s="277">
        <v>3781.7</v>
      </c>
      <c r="M154" s="276">
        <v>96395.95</v>
      </c>
      <c r="N154" s="277">
        <v>0</v>
      </c>
      <c r="O154" s="276">
        <v>124576.05</v>
      </c>
      <c r="P154" s="277">
        <v>0</v>
      </c>
      <c r="Q154" s="276">
        <v>189790.85</v>
      </c>
      <c r="R154" s="276">
        <v>40835.35</v>
      </c>
      <c r="S154" s="276">
        <v>145269.35</v>
      </c>
      <c r="T154" s="277">
        <v>14915.35</v>
      </c>
    </row>
    <row r="155" spans="1:20" ht="14.1" customHeight="1" x14ac:dyDescent="0.25">
      <c r="A155" s="274" t="s">
        <v>279</v>
      </c>
      <c r="B155" s="275" t="s">
        <v>280</v>
      </c>
      <c r="C155" s="276">
        <v>261697.65</v>
      </c>
      <c r="D155" s="277">
        <v>146423.15</v>
      </c>
      <c r="E155" s="276">
        <v>126475.56</v>
      </c>
      <c r="F155" s="277">
        <v>0</v>
      </c>
      <c r="G155" s="276">
        <f>519129.02+319411.1+2209.9</f>
        <v>840750.02</v>
      </c>
      <c r="H155" s="277">
        <v>2700.4</v>
      </c>
      <c r="I155" s="276">
        <v>235634.05</v>
      </c>
      <c r="J155" s="277">
        <v>25391</v>
      </c>
      <c r="K155" s="276">
        <f>203719.2+7665</f>
        <v>211384.2</v>
      </c>
      <c r="L155" s="277">
        <v>0</v>
      </c>
      <c r="M155" s="276">
        <v>146834.9</v>
      </c>
      <c r="N155" s="277">
        <v>0</v>
      </c>
      <c r="O155" s="276">
        <v>128490.95</v>
      </c>
      <c r="P155" s="277">
        <v>6089.3</v>
      </c>
      <c r="Q155" s="276">
        <v>318254.75</v>
      </c>
      <c r="R155" s="276">
        <v>134230.89000000001</v>
      </c>
      <c r="S155" s="276">
        <v>99539.95</v>
      </c>
      <c r="T155" s="277">
        <v>90337.5</v>
      </c>
    </row>
    <row r="156" spans="1:20" ht="14.1" customHeight="1" x14ac:dyDescent="0.25">
      <c r="A156" s="274" t="s">
        <v>281</v>
      </c>
      <c r="B156" s="275" t="s">
        <v>282</v>
      </c>
      <c r="C156" s="276">
        <v>322834.2</v>
      </c>
      <c r="D156" s="277">
        <v>233061.65</v>
      </c>
      <c r="E156" s="276">
        <v>397173.1</v>
      </c>
      <c r="F156" s="277">
        <v>0</v>
      </c>
      <c r="G156" s="276">
        <v>3315280.7</v>
      </c>
      <c r="H156" s="277">
        <v>4520</v>
      </c>
      <c r="I156" s="276">
        <v>787704.95</v>
      </c>
      <c r="J156" s="277">
        <v>97158.3</v>
      </c>
      <c r="K156" s="276">
        <v>834932.75</v>
      </c>
      <c r="L156" s="277">
        <v>0</v>
      </c>
      <c r="M156" s="276">
        <v>506863.15</v>
      </c>
      <c r="N156" s="277">
        <v>0</v>
      </c>
      <c r="O156" s="276">
        <v>1591340.1</v>
      </c>
      <c r="P156" s="277">
        <v>912611.45</v>
      </c>
      <c r="Q156" s="276">
        <v>2113145.5</v>
      </c>
      <c r="R156" s="276">
        <v>1161016.3999999999</v>
      </c>
      <c r="S156" s="276">
        <v>1853030.8</v>
      </c>
      <c r="T156" s="277">
        <v>1074250.6000000001</v>
      </c>
    </row>
    <row r="157" spans="1:20" ht="14.1" customHeight="1" x14ac:dyDescent="0.25">
      <c r="A157" s="274" t="s">
        <v>283</v>
      </c>
      <c r="B157" s="275" t="s">
        <v>284</v>
      </c>
      <c r="C157" s="276">
        <v>252025.24</v>
      </c>
      <c r="D157" s="277">
        <v>154751.4</v>
      </c>
      <c r="E157" s="276">
        <v>301301.5</v>
      </c>
      <c r="F157" s="277">
        <v>4600</v>
      </c>
      <c r="G157" s="276">
        <v>2447489.2599999998</v>
      </c>
      <c r="H157" s="277">
        <v>46000</v>
      </c>
      <c r="I157" s="276">
        <v>662482.35</v>
      </c>
      <c r="J157" s="277">
        <v>109024.8</v>
      </c>
      <c r="K157" s="276">
        <f>491496.2+36129.04</f>
        <v>527625.24</v>
      </c>
      <c r="L157" s="277">
        <v>0</v>
      </c>
      <c r="M157" s="276">
        <v>382003.3</v>
      </c>
      <c r="N157" s="277">
        <v>0</v>
      </c>
      <c r="O157" s="276">
        <v>319570.40000000002</v>
      </c>
      <c r="P157" s="277">
        <v>0</v>
      </c>
      <c r="Q157" s="276">
        <v>1082041.5900000001</v>
      </c>
      <c r="R157" s="276">
        <v>89121.78</v>
      </c>
      <c r="S157" s="276">
        <v>308155.34000000003</v>
      </c>
      <c r="T157" s="277">
        <v>0</v>
      </c>
    </row>
    <row r="158" spans="1:20" ht="14.1" customHeight="1" x14ac:dyDescent="0.25">
      <c r="A158" s="274" t="s">
        <v>285</v>
      </c>
      <c r="B158" s="275" t="s">
        <v>286</v>
      </c>
      <c r="C158" s="276">
        <v>97858</v>
      </c>
      <c r="D158" s="277">
        <v>23067.1</v>
      </c>
      <c r="E158" s="276">
        <v>119010.45</v>
      </c>
      <c r="F158" s="277">
        <v>0</v>
      </c>
      <c r="G158" s="276">
        <f>624210.3+333075.2</f>
        <v>957285.5</v>
      </c>
      <c r="H158" s="277">
        <v>6084</v>
      </c>
      <c r="I158" s="276">
        <v>171815.05</v>
      </c>
      <c r="J158" s="277">
        <v>0</v>
      </c>
      <c r="K158" s="276">
        <v>198078.1</v>
      </c>
      <c r="L158" s="277">
        <v>0</v>
      </c>
      <c r="M158" s="276">
        <v>107738.3</v>
      </c>
      <c r="N158" s="277">
        <v>0</v>
      </c>
      <c r="O158" s="276">
        <v>175865.2</v>
      </c>
      <c r="P158" s="277">
        <v>8941.2999999999993</v>
      </c>
      <c r="Q158" s="276">
        <v>375489.01</v>
      </c>
      <c r="R158" s="276">
        <v>53276</v>
      </c>
      <c r="S158" s="276">
        <v>227402</v>
      </c>
      <c r="T158" s="277">
        <v>0</v>
      </c>
    </row>
    <row r="159" spans="1:20" ht="14.1" customHeight="1" x14ac:dyDescent="0.25">
      <c r="A159" s="274" t="s">
        <v>287</v>
      </c>
      <c r="B159" s="275" t="s">
        <v>308</v>
      </c>
      <c r="C159" s="276">
        <v>188619.95</v>
      </c>
      <c r="D159" s="277">
        <v>112183.55</v>
      </c>
      <c r="E159" s="276">
        <v>235341.65</v>
      </c>
      <c r="F159" s="277">
        <v>0</v>
      </c>
      <c r="G159" s="276">
        <v>1845929.91</v>
      </c>
      <c r="H159" s="277">
        <v>65368.2</v>
      </c>
      <c r="I159" s="276">
        <v>443186.35</v>
      </c>
      <c r="J159" s="277">
        <v>50342.35</v>
      </c>
      <c r="K159" s="276">
        <v>502110.75</v>
      </c>
      <c r="L159" s="277">
        <v>0</v>
      </c>
      <c r="M159" s="276">
        <v>198525.8</v>
      </c>
      <c r="N159" s="277">
        <v>0</v>
      </c>
      <c r="O159" s="276">
        <v>329498.25</v>
      </c>
      <c r="P159" s="277">
        <v>0</v>
      </c>
      <c r="Q159" s="276">
        <v>815340.7</v>
      </c>
      <c r="R159" s="276">
        <v>129548.5</v>
      </c>
      <c r="S159" s="276">
        <v>678002.6</v>
      </c>
      <c r="T159" s="277">
        <v>62381.5</v>
      </c>
    </row>
    <row r="160" spans="1:20" ht="14.1" customHeight="1" x14ac:dyDescent="0.25">
      <c r="A160" s="274" t="s">
        <v>288</v>
      </c>
      <c r="B160" s="275" t="s">
        <v>289</v>
      </c>
      <c r="C160" s="276">
        <v>536702</v>
      </c>
      <c r="D160" s="277">
        <v>344785.05</v>
      </c>
      <c r="E160" s="276">
        <v>539399.75</v>
      </c>
      <c r="F160" s="277">
        <v>0</v>
      </c>
      <c r="G160" s="276">
        <f>2426321.45+1449542.4+95240.65+115981.25</f>
        <v>4087085.75</v>
      </c>
      <c r="H160" s="277">
        <f>33637.5+47050.55+6940.75</f>
        <v>87628.800000000003</v>
      </c>
      <c r="I160" s="276">
        <v>1073437.25</v>
      </c>
      <c r="J160" s="277">
        <v>147776.5</v>
      </c>
      <c r="K160" s="276">
        <v>1141625.3500000001</v>
      </c>
      <c r="L160" s="277">
        <v>0</v>
      </c>
      <c r="M160" s="276">
        <v>494068.33</v>
      </c>
      <c r="N160" s="277">
        <v>0</v>
      </c>
      <c r="O160" s="276">
        <f>2214264.4+63675.6+79890+24635.25</f>
        <v>2382465.25</v>
      </c>
      <c r="P160" s="277">
        <f>1440622.65+209292.85+22370.2</f>
        <v>1672285.7</v>
      </c>
      <c r="Q160" s="276">
        <v>1911808.58</v>
      </c>
      <c r="R160" s="276">
        <v>679478.4</v>
      </c>
      <c r="S160" s="276">
        <v>713212.3</v>
      </c>
      <c r="T160" s="277">
        <v>2950</v>
      </c>
    </row>
    <row r="161" spans="1:20" ht="14.1" customHeight="1" x14ac:dyDescent="0.25">
      <c r="A161" s="278" t="s">
        <v>290</v>
      </c>
      <c r="B161" s="279" t="s">
        <v>291</v>
      </c>
      <c r="C161" s="280">
        <v>31277.200000000001</v>
      </c>
      <c r="D161" s="281">
        <v>4523.3500000000004</v>
      </c>
      <c r="E161" s="280">
        <v>41648.6</v>
      </c>
      <c r="F161" s="281">
        <v>0</v>
      </c>
      <c r="G161" s="280">
        <v>352764.3</v>
      </c>
      <c r="H161" s="281">
        <v>0</v>
      </c>
      <c r="I161" s="280">
        <v>67224.05</v>
      </c>
      <c r="J161" s="281">
        <v>0</v>
      </c>
      <c r="K161" s="280">
        <f>66286.64+22633.65</f>
        <v>88920.290000000008</v>
      </c>
      <c r="L161" s="281">
        <v>1065.95</v>
      </c>
      <c r="M161" s="280">
        <v>58848.71</v>
      </c>
      <c r="N161" s="281">
        <v>0</v>
      </c>
      <c r="O161" s="280">
        <v>63148.95</v>
      </c>
      <c r="P161" s="281">
        <v>3898</v>
      </c>
      <c r="Q161" s="280">
        <v>71481.3</v>
      </c>
      <c r="R161" s="280">
        <v>7016</v>
      </c>
      <c r="S161" s="280">
        <v>53727.3</v>
      </c>
      <c r="T161" s="281">
        <v>7016</v>
      </c>
    </row>
    <row r="162" spans="1:20" ht="14.1" customHeight="1" x14ac:dyDescent="0.25">
      <c r="A162" s="274" t="s">
        <v>292</v>
      </c>
      <c r="B162" s="275" t="s">
        <v>337</v>
      </c>
      <c r="C162" s="276">
        <v>254534.41</v>
      </c>
      <c r="D162" s="277">
        <v>74268.100000000006</v>
      </c>
      <c r="E162" s="276">
        <v>296792.15000000002</v>
      </c>
      <c r="F162" s="277">
        <v>0</v>
      </c>
      <c r="G162" s="276">
        <f>1381517.9+815298.6+242070.5</f>
        <v>2438887</v>
      </c>
      <c r="H162" s="277">
        <f>306994.75+55097</f>
        <v>362091.75</v>
      </c>
      <c r="I162" s="276">
        <v>533566.1</v>
      </c>
      <c r="J162" s="277">
        <v>0</v>
      </c>
      <c r="K162" s="276">
        <v>594248.44999999995</v>
      </c>
      <c r="L162" s="277">
        <v>0</v>
      </c>
      <c r="M162" s="276">
        <v>280545.34999999998</v>
      </c>
      <c r="N162" s="277">
        <v>0</v>
      </c>
      <c r="O162" s="276">
        <v>367659.5</v>
      </c>
      <c r="P162" s="277">
        <v>97343.45</v>
      </c>
      <c r="Q162" s="276">
        <v>1100032.05</v>
      </c>
      <c r="R162" s="276">
        <v>68515.75</v>
      </c>
      <c r="S162" s="276">
        <v>903106.8</v>
      </c>
      <c r="T162" s="277">
        <v>45075.75</v>
      </c>
    </row>
    <row r="163" spans="1:20" ht="14.1" customHeight="1" x14ac:dyDescent="0.25">
      <c r="A163" s="274" t="s">
        <v>293</v>
      </c>
      <c r="B163" s="275" t="s">
        <v>294</v>
      </c>
      <c r="C163" s="276">
        <v>271345.65000000002</v>
      </c>
      <c r="D163" s="277">
        <v>211960.45</v>
      </c>
      <c r="E163" s="276">
        <v>132319.5</v>
      </c>
      <c r="F163" s="277">
        <v>0</v>
      </c>
      <c r="G163" s="276">
        <v>1061837.55</v>
      </c>
      <c r="H163" s="277">
        <v>111837.25</v>
      </c>
      <c r="I163" s="276">
        <v>236848.1</v>
      </c>
      <c r="J163" s="277">
        <v>0</v>
      </c>
      <c r="K163" s="276">
        <v>256454</v>
      </c>
      <c r="L163" s="277">
        <v>0</v>
      </c>
      <c r="M163" s="276">
        <v>132715.45000000001</v>
      </c>
      <c r="N163" s="277">
        <v>0</v>
      </c>
      <c r="O163" s="276">
        <v>139234.85</v>
      </c>
      <c r="P163" s="277">
        <v>0</v>
      </c>
      <c r="Q163" s="276">
        <v>396816.25</v>
      </c>
      <c r="R163" s="276">
        <v>41215</v>
      </c>
      <c r="S163" s="276">
        <v>286889.5</v>
      </c>
      <c r="T163" s="277">
        <v>17215</v>
      </c>
    </row>
    <row r="164" spans="1:20" ht="14.1" customHeight="1" x14ac:dyDescent="0.25">
      <c r="A164" s="274" t="s">
        <v>295</v>
      </c>
      <c r="B164" s="275" t="s">
        <v>296</v>
      </c>
      <c r="C164" s="276">
        <v>1343682.99</v>
      </c>
      <c r="D164" s="277">
        <v>1017155.33</v>
      </c>
      <c r="E164" s="276">
        <v>573159.65</v>
      </c>
      <c r="F164" s="277">
        <v>0</v>
      </c>
      <c r="G164" s="276">
        <v>5146827.7300000004</v>
      </c>
      <c r="H164" s="277">
        <v>428847.55</v>
      </c>
      <c r="I164" s="276">
        <v>1075663.95</v>
      </c>
      <c r="J164" s="277">
        <v>0</v>
      </c>
      <c r="K164" s="276">
        <v>1134465.3500000001</v>
      </c>
      <c r="L164" s="277">
        <v>0</v>
      </c>
      <c r="M164" s="276">
        <v>675133.45</v>
      </c>
      <c r="N164" s="277">
        <v>42701.85</v>
      </c>
      <c r="O164" s="276">
        <v>1401177.9</v>
      </c>
      <c r="P164" s="277">
        <v>639500.72</v>
      </c>
      <c r="Q164" s="276">
        <v>4156907.33</v>
      </c>
      <c r="R164" s="276">
        <v>999229.9</v>
      </c>
      <c r="S164" s="276">
        <v>3858615.83</v>
      </c>
      <c r="T164" s="277">
        <v>999229.9</v>
      </c>
    </row>
    <row r="165" spans="1:20" ht="14.1" customHeight="1" x14ac:dyDescent="0.25">
      <c r="A165" s="274" t="s">
        <v>298</v>
      </c>
      <c r="B165" s="275" t="s">
        <v>299</v>
      </c>
      <c r="C165" s="276">
        <v>239297.3</v>
      </c>
      <c r="D165" s="277">
        <v>175202.85</v>
      </c>
      <c r="E165" s="276">
        <v>78890.2</v>
      </c>
      <c r="F165" s="277">
        <v>0</v>
      </c>
      <c r="G165" s="276">
        <f>902740.55+243115.75+42656.35</f>
        <v>1188512.6500000001</v>
      </c>
      <c r="H165" s="277">
        <v>550</v>
      </c>
      <c r="I165" s="276">
        <v>143401.1</v>
      </c>
      <c r="J165" s="277">
        <v>0</v>
      </c>
      <c r="K165" s="276">
        <v>159114.29999999999</v>
      </c>
      <c r="L165" s="277">
        <v>0</v>
      </c>
      <c r="M165" s="276">
        <v>78187.100000000006</v>
      </c>
      <c r="N165" s="277">
        <v>0</v>
      </c>
      <c r="O165" s="276">
        <v>103723.65</v>
      </c>
      <c r="P165" s="277">
        <v>0</v>
      </c>
      <c r="Q165" s="276">
        <v>247256.5</v>
      </c>
      <c r="R165" s="276">
        <v>41869.65</v>
      </c>
      <c r="S165" s="276">
        <v>214956.45</v>
      </c>
      <c r="T165" s="277">
        <v>41869.65</v>
      </c>
    </row>
    <row r="166" spans="1:20" ht="14.1" customHeight="1" x14ac:dyDescent="0.25">
      <c r="A166" s="274" t="s">
        <v>301</v>
      </c>
      <c r="B166" s="275" t="s">
        <v>302</v>
      </c>
      <c r="C166" s="276">
        <v>77788.850000000006</v>
      </c>
      <c r="D166" s="277">
        <v>39596.1</v>
      </c>
      <c r="E166" s="276">
        <v>90270.45</v>
      </c>
      <c r="F166" s="277">
        <v>0</v>
      </c>
      <c r="G166" s="276">
        <v>720800.35</v>
      </c>
      <c r="H166" s="277">
        <v>45663.6</v>
      </c>
      <c r="I166" s="276">
        <v>164056.45000000001</v>
      </c>
      <c r="J166" s="277">
        <v>0</v>
      </c>
      <c r="K166" s="276">
        <v>181255.95</v>
      </c>
      <c r="L166" s="277">
        <v>0</v>
      </c>
      <c r="M166" s="276">
        <v>81961.7</v>
      </c>
      <c r="N166" s="277">
        <v>0</v>
      </c>
      <c r="O166" s="276">
        <v>125922.75</v>
      </c>
      <c r="P166" s="277">
        <v>0</v>
      </c>
      <c r="Q166" s="276">
        <v>279775.34999999998</v>
      </c>
      <c r="R166" s="276">
        <v>0</v>
      </c>
      <c r="S166" s="276">
        <v>237195.5</v>
      </c>
      <c r="T166" s="277">
        <v>0</v>
      </c>
    </row>
    <row r="167" spans="1:20" ht="14.1" customHeight="1" x14ac:dyDescent="0.25">
      <c r="A167" s="274" t="s">
        <v>303</v>
      </c>
      <c r="B167" s="275" t="s">
        <v>304</v>
      </c>
      <c r="C167" s="276">
        <v>121281.95</v>
      </c>
      <c r="D167" s="277">
        <v>96708.47</v>
      </c>
      <c r="E167" s="276">
        <v>93667.35</v>
      </c>
      <c r="F167" s="277">
        <v>0</v>
      </c>
      <c r="G167" s="276">
        <f>679643.75+2443.8</f>
        <v>682087.55</v>
      </c>
      <c r="H167" s="277">
        <f>11680</f>
        <v>11680</v>
      </c>
      <c r="I167" s="276">
        <v>139012.4</v>
      </c>
      <c r="J167" s="277">
        <v>0</v>
      </c>
      <c r="K167" s="276">
        <v>180816.55</v>
      </c>
      <c r="L167" s="277">
        <v>0</v>
      </c>
      <c r="M167" s="276">
        <v>75724.5</v>
      </c>
      <c r="N167" s="277">
        <v>0</v>
      </c>
      <c r="O167" s="276">
        <v>146315.15</v>
      </c>
      <c r="P167" s="277">
        <v>5921</v>
      </c>
      <c r="Q167" s="276">
        <v>288882</v>
      </c>
      <c r="R167" s="276">
        <v>28379.55</v>
      </c>
      <c r="S167" s="276">
        <v>239719.8</v>
      </c>
      <c r="T167" s="277">
        <v>10032.549999999999</v>
      </c>
    </row>
    <row r="168" spans="1:20" ht="14.1" customHeight="1" x14ac:dyDescent="0.25">
      <c r="A168" s="274" t="s">
        <v>305</v>
      </c>
      <c r="B168" s="275" t="s">
        <v>306</v>
      </c>
      <c r="C168" s="276">
        <v>408932.05</v>
      </c>
      <c r="D168" s="277">
        <v>362627</v>
      </c>
      <c r="E168" s="276">
        <v>125761.4</v>
      </c>
      <c r="F168" s="277">
        <v>0</v>
      </c>
      <c r="G168" s="276">
        <v>929742.9</v>
      </c>
      <c r="H168" s="277">
        <v>44050.85</v>
      </c>
      <c r="I168" s="276">
        <v>224303.7</v>
      </c>
      <c r="J168" s="277">
        <v>0</v>
      </c>
      <c r="K168" s="276">
        <v>246174.45</v>
      </c>
      <c r="L168" s="277">
        <v>0</v>
      </c>
      <c r="M168" s="276">
        <v>103223.95</v>
      </c>
      <c r="N168" s="277">
        <v>0</v>
      </c>
      <c r="O168" s="276">
        <v>168057.05</v>
      </c>
      <c r="P168" s="277">
        <v>2783.45</v>
      </c>
      <c r="Q168" s="276">
        <v>415740.45</v>
      </c>
      <c r="R168" s="276">
        <v>63998.5</v>
      </c>
      <c r="S168" s="276">
        <v>364735.15</v>
      </c>
      <c r="T168" s="277">
        <v>63998.5</v>
      </c>
    </row>
    <row r="169" spans="1:20" ht="14.1" customHeight="1" x14ac:dyDescent="0.25">
      <c r="A169" s="274">
        <v>2337</v>
      </c>
      <c r="B169" s="275" t="s">
        <v>300</v>
      </c>
      <c r="C169" s="276">
        <v>80870.2</v>
      </c>
      <c r="D169" s="277">
        <v>53175.6</v>
      </c>
      <c r="E169" s="276">
        <v>100397.05</v>
      </c>
      <c r="F169" s="277">
        <v>0</v>
      </c>
      <c r="G169" s="276">
        <v>721074.3</v>
      </c>
      <c r="H169" s="277">
        <v>48140.7</v>
      </c>
      <c r="I169" s="276">
        <v>179813.4</v>
      </c>
      <c r="J169" s="277">
        <v>0</v>
      </c>
      <c r="K169" s="276">
        <v>197529.7</v>
      </c>
      <c r="L169" s="277">
        <v>0</v>
      </c>
      <c r="M169" s="276">
        <v>93965.65</v>
      </c>
      <c r="N169" s="277">
        <v>0</v>
      </c>
      <c r="O169" s="276">
        <v>205425.35</v>
      </c>
      <c r="P169" s="277">
        <v>0</v>
      </c>
      <c r="Q169" s="276">
        <v>101973.55</v>
      </c>
      <c r="R169" s="276">
        <v>1800</v>
      </c>
      <c r="S169" s="276">
        <v>83273.649999999994</v>
      </c>
      <c r="T169" s="277">
        <v>1800</v>
      </c>
    </row>
    <row r="170" spans="1:20" ht="14.1" customHeight="1" x14ac:dyDescent="0.25">
      <c r="A170" s="274">
        <v>2338</v>
      </c>
      <c r="B170" s="275" t="s">
        <v>297</v>
      </c>
      <c r="C170" s="276">
        <v>161009.4</v>
      </c>
      <c r="D170" s="277">
        <v>138224.54999999999</v>
      </c>
      <c r="E170" s="276">
        <v>107726.65</v>
      </c>
      <c r="F170" s="277">
        <v>0</v>
      </c>
      <c r="G170" s="276">
        <v>810702.1</v>
      </c>
      <c r="H170" s="277">
        <v>93179.9</v>
      </c>
      <c r="I170" s="276">
        <v>188879.7</v>
      </c>
      <c r="J170" s="277">
        <v>0</v>
      </c>
      <c r="K170" s="276">
        <f>207244.4</f>
        <v>207244.4</v>
      </c>
      <c r="L170" s="277">
        <v>0</v>
      </c>
      <c r="M170" s="276">
        <v>84942.05</v>
      </c>
      <c r="N170" s="277">
        <v>0</v>
      </c>
      <c r="O170" s="276">
        <v>771806.6</v>
      </c>
      <c r="P170" s="277">
        <v>578504.80000000005</v>
      </c>
      <c r="Q170" s="276">
        <v>235507</v>
      </c>
      <c r="R170" s="276">
        <v>54642.35</v>
      </c>
      <c r="S170" s="276">
        <v>175628.2</v>
      </c>
      <c r="T170" s="277">
        <v>38277.35</v>
      </c>
    </row>
    <row r="171" spans="1:20" ht="14.1" customHeight="1" x14ac:dyDescent="0.25">
      <c r="A171" s="283"/>
      <c r="B171" s="284"/>
      <c r="C171" s="285"/>
      <c r="D171" s="285"/>
      <c r="E171" s="285"/>
      <c r="F171" s="285"/>
      <c r="G171" s="285"/>
      <c r="H171" s="285"/>
      <c r="I171" s="285"/>
      <c r="J171" s="285"/>
      <c r="K171" s="285"/>
      <c r="L171" s="285"/>
      <c r="M171" s="285"/>
      <c r="N171" s="285"/>
      <c r="O171" s="285"/>
      <c r="P171" s="285"/>
      <c r="Q171" s="285"/>
      <c r="R171" s="285"/>
      <c r="S171" s="285"/>
      <c r="T171" s="285"/>
    </row>
    <row r="172" spans="1:20" s="264" customFormat="1" ht="14.1" customHeight="1" x14ac:dyDescent="0.25">
      <c r="A172" s="283"/>
      <c r="B172" s="284" t="s">
        <v>316</v>
      </c>
      <c r="C172" s="286">
        <f t="shared" ref="C172:D172" si="0">SUM(C7:C170)</f>
        <v>43706478.650000021</v>
      </c>
      <c r="D172" s="286">
        <f t="shared" si="0"/>
        <v>27895742.369999994</v>
      </c>
      <c r="E172" s="286">
        <f t="shared" ref="E172:T172" si="1">SUM(E7:E170)</f>
        <v>30176285.549999997</v>
      </c>
      <c r="F172" s="286">
        <f t="shared" si="1"/>
        <v>305373.84999999998</v>
      </c>
      <c r="G172" s="286">
        <f t="shared" si="1"/>
        <v>258334701.53</v>
      </c>
      <c r="H172" s="286">
        <f t="shared" si="1"/>
        <v>21666681.850000001</v>
      </c>
      <c r="I172" s="286">
        <f t="shared" si="1"/>
        <v>52631863.219999999</v>
      </c>
      <c r="J172" s="286">
        <f t="shared" si="1"/>
        <v>2314701.5500000003</v>
      </c>
      <c r="K172" s="286">
        <f t="shared" si="1"/>
        <v>78518279.309999987</v>
      </c>
      <c r="L172" s="286">
        <f t="shared" si="1"/>
        <v>19088617.009999998</v>
      </c>
      <c r="M172" s="286">
        <f t="shared" si="1"/>
        <v>25485179.68999999</v>
      </c>
      <c r="N172" s="286">
        <f t="shared" si="1"/>
        <v>74781.84</v>
      </c>
      <c r="O172" s="286">
        <f t="shared" si="1"/>
        <v>72826253.730000004</v>
      </c>
      <c r="P172" s="286">
        <f t="shared" si="1"/>
        <v>25803786.089999992</v>
      </c>
      <c r="Q172" s="286">
        <f t="shared" si="1"/>
        <v>116567066.37000005</v>
      </c>
      <c r="R172" s="286">
        <f t="shared" si="1"/>
        <v>39189704.859999999</v>
      </c>
      <c r="S172" s="286">
        <f t="shared" si="1"/>
        <v>78046997.829999998</v>
      </c>
      <c r="T172" s="286">
        <f t="shared" si="1"/>
        <v>28308092.240000013</v>
      </c>
    </row>
    <row r="173" spans="1:20" ht="14.1" customHeight="1" x14ac:dyDescent="0.25">
      <c r="A173" s="283"/>
      <c r="B173" s="284"/>
      <c r="C173" s="285"/>
      <c r="D173" s="285"/>
      <c r="E173" s="285"/>
      <c r="F173" s="285"/>
      <c r="G173" s="285"/>
      <c r="H173" s="285"/>
      <c r="I173" s="285"/>
      <c r="J173" s="285"/>
      <c r="K173" s="285"/>
      <c r="L173" s="285"/>
      <c r="M173" s="285"/>
      <c r="N173" s="285"/>
      <c r="O173" s="285"/>
      <c r="P173" s="285"/>
      <c r="Q173" s="285"/>
      <c r="R173" s="285"/>
      <c r="S173" s="285"/>
      <c r="T173" s="285"/>
    </row>
    <row r="174" spans="1:20" s="268" customFormat="1" ht="14.1" customHeight="1" x14ac:dyDescent="0.25">
      <c r="A174" s="287"/>
      <c r="B174" s="288" t="s">
        <v>318</v>
      </c>
      <c r="C174" s="289">
        <f>SUM(C172-D172)</f>
        <v>15810736.280000027</v>
      </c>
      <c r="D174" s="290"/>
      <c r="E174" s="289">
        <f>SUM(E172-F172)</f>
        <v>29870911.699999996</v>
      </c>
      <c r="F174" s="290"/>
      <c r="G174" s="289">
        <f>SUM(G172-H172)</f>
        <v>236668019.68000001</v>
      </c>
      <c r="H174" s="290"/>
      <c r="I174" s="289">
        <f>SUM(I172-J172)</f>
        <v>50317161.670000002</v>
      </c>
      <c r="J174" s="290"/>
      <c r="K174" s="289">
        <f>SUM(K172-L172)</f>
        <v>59429662.29999999</v>
      </c>
      <c r="L174" s="290"/>
      <c r="M174" s="289">
        <f>SUM(M172-N172)</f>
        <v>25410397.84999999</v>
      </c>
      <c r="N174" s="290"/>
      <c r="O174" s="289">
        <f>SUM(O172-P172)</f>
        <v>47022467.640000015</v>
      </c>
      <c r="P174" s="290"/>
      <c r="Q174" s="289">
        <f>SUM(Q172-R172)</f>
        <v>77377361.51000005</v>
      </c>
      <c r="R174" s="290"/>
      <c r="S174" s="289">
        <f>SUM(S172-T172)</f>
        <v>49738905.589999989</v>
      </c>
      <c r="T174" s="290"/>
    </row>
    <row r="175" spans="1:20" s="264" customFormat="1" ht="14.1" customHeight="1" x14ac:dyDescent="0.25">
      <c r="A175" s="291"/>
      <c r="B175" s="292"/>
      <c r="C175" s="293"/>
      <c r="D175" s="293"/>
      <c r="E175" s="293"/>
      <c r="F175" s="293"/>
      <c r="G175" s="293"/>
      <c r="H175" s="293"/>
      <c r="I175" s="293"/>
      <c r="J175" s="293"/>
      <c r="K175" s="293"/>
      <c r="L175" s="293"/>
      <c r="M175" s="293"/>
      <c r="N175" s="293"/>
      <c r="O175" s="293"/>
      <c r="P175" s="293"/>
      <c r="Q175" s="293"/>
      <c r="R175" s="293"/>
      <c r="S175" s="293"/>
      <c r="T175" s="293"/>
    </row>
    <row r="176" spans="1:20" s="264" customFormat="1" ht="14.1" customHeight="1" x14ac:dyDescent="0.25">
      <c r="A176" s="263"/>
    </row>
    <row r="177" spans="1:57" s="264" customFormat="1" ht="14.1" customHeight="1" x14ac:dyDescent="0.25">
      <c r="A177" s="263"/>
      <c r="B177" s="264" t="s">
        <v>321</v>
      </c>
      <c r="C177" s="294">
        <f>C172</f>
        <v>43706478.650000021</v>
      </c>
      <c r="D177" s="294">
        <f>D172</f>
        <v>27895742.369999994</v>
      </c>
      <c r="E177" s="295"/>
      <c r="F177" s="295"/>
    </row>
    <row r="178" spans="1:57" s="268" customFormat="1" ht="14.1" customHeight="1" x14ac:dyDescent="0.25">
      <c r="A178" s="267"/>
      <c r="B178" s="268" t="s">
        <v>323</v>
      </c>
      <c r="C178" s="296">
        <f>SUM(C177-D177)</f>
        <v>15810736.280000027</v>
      </c>
      <c r="D178" s="296"/>
      <c r="E178" s="297"/>
      <c r="F178" s="296"/>
    </row>
    <row r="179" spans="1:57" s="264" customFormat="1" ht="14.1" customHeight="1" x14ac:dyDescent="0.25">
      <c r="A179" s="263"/>
      <c r="C179" s="294"/>
      <c r="D179" s="294"/>
    </row>
    <row r="180" spans="1:57" s="264" customFormat="1" ht="14.1" customHeight="1" x14ac:dyDescent="0.25">
      <c r="A180" s="263"/>
      <c r="B180" s="264" t="s">
        <v>322</v>
      </c>
      <c r="C180" s="294">
        <f>Q172</f>
        <v>116567066.37000005</v>
      </c>
      <c r="D180" s="294">
        <f>R172</f>
        <v>39189704.859999999</v>
      </c>
    </row>
    <row r="181" spans="1:57" s="268" customFormat="1" ht="14.1" customHeight="1" x14ac:dyDescent="0.25">
      <c r="A181" s="267"/>
      <c r="B181" s="268" t="s">
        <v>324</v>
      </c>
      <c r="C181" s="296">
        <f>SUM(C180-D180)</f>
        <v>77377361.51000005</v>
      </c>
      <c r="D181" s="296"/>
    </row>
    <row r="182" spans="1:57" s="264" customFormat="1" ht="14.1" customHeight="1" x14ac:dyDescent="0.25">
      <c r="A182" s="263"/>
    </row>
    <row r="183" spans="1:57" s="264" customFormat="1" ht="14.1" customHeight="1" x14ac:dyDescent="0.25">
      <c r="A183" s="263"/>
      <c r="B183" s="264" t="s">
        <v>339</v>
      </c>
      <c r="C183" s="294">
        <f>O172</f>
        <v>72826253.730000004</v>
      </c>
      <c r="D183" s="294">
        <f>P172</f>
        <v>25803786.089999992</v>
      </c>
    </row>
    <row r="184" spans="1:57" s="268" customFormat="1" ht="14.1" customHeight="1" x14ac:dyDescent="0.25">
      <c r="A184" s="267"/>
      <c r="B184" s="268" t="s">
        <v>340</v>
      </c>
      <c r="C184" s="296">
        <f>C183-D183</f>
        <v>47022467.640000015</v>
      </c>
      <c r="D184" s="296"/>
    </row>
    <row r="185" spans="1:57" s="264" customFormat="1" ht="14.1" customHeight="1" x14ac:dyDescent="0.25">
      <c r="A185" s="263"/>
    </row>
    <row r="186" spans="1:57" s="264" customFormat="1" ht="14.1" customHeight="1" x14ac:dyDescent="0.25">
      <c r="A186" s="263"/>
      <c r="B186" s="264" t="s">
        <v>328</v>
      </c>
      <c r="C186" s="294">
        <f>SUM(K172,M172)</f>
        <v>104003458.99999997</v>
      </c>
      <c r="D186" s="294">
        <f>SUM(L172,N172)</f>
        <v>19163398.849999998</v>
      </c>
      <c r="E186" s="295"/>
      <c r="F186" s="295"/>
      <c r="G186" s="294"/>
      <c r="H186" s="294"/>
      <c r="I186" s="294"/>
      <c r="J186" s="294"/>
      <c r="K186" s="294"/>
      <c r="L186" s="294"/>
      <c r="M186" s="294"/>
      <c r="N186" s="294"/>
      <c r="O186" s="294"/>
      <c r="P186" s="294"/>
      <c r="Q186" s="294"/>
      <c r="R186" s="294"/>
      <c r="S186" s="294"/>
      <c r="T186" s="294"/>
      <c r="U186" s="294"/>
      <c r="V186" s="294"/>
      <c r="W186" s="294"/>
      <c r="X186" s="294"/>
      <c r="Y186" s="294"/>
      <c r="Z186" s="294"/>
      <c r="AA186" s="294"/>
      <c r="AB186" s="294"/>
      <c r="AC186" s="294"/>
      <c r="AD186" s="294"/>
      <c r="AE186" s="294"/>
      <c r="AF186" s="294"/>
      <c r="AG186" s="294"/>
      <c r="AH186" s="294"/>
      <c r="AI186" s="294"/>
      <c r="AJ186" s="294"/>
      <c r="AK186" s="294"/>
      <c r="AL186" s="294"/>
      <c r="AM186" s="294"/>
      <c r="AN186" s="294"/>
      <c r="AO186" s="294"/>
      <c r="AP186" s="294"/>
      <c r="AQ186" s="294"/>
      <c r="AR186" s="294"/>
      <c r="AS186" s="294"/>
      <c r="AT186" s="294"/>
      <c r="AU186" s="294"/>
      <c r="AV186" s="294"/>
      <c r="AW186" s="294"/>
      <c r="AX186" s="294"/>
      <c r="AY186" s="294"/>
      <c r="AZ186" s="294"/>
      <c r="BA186" s="294"/>
      <c r="BB186" s="294"/>
      <c r="BC186" s="294"/>
      <c r="BD186" s="294"/>
      <c r="BE186" s="294"/>
    </row>
    <row r="187" spans="1:57" s="268" customFormat="1" ht="14.1" customHeight="1" x14ac:dyDescent="0.25">
      <c r="A187" s="267"/>
      <c r="B187" s="268" t="s">
        <v>329</v>
      </c>
      <c r="C187" s="296">
        <f>SUM(C186-D186)</f>
        <v>84840060.149999976</v>
      </c>
      <c r="D187" s="296"/>
      <c r="E187" s="297"/>
      <c r="F187" s="296"/>
      <c r="G187" s="296"/>
      <c r="H187" s="296"/>
      <c r="I187" s="296"/>
      <c r="J187" s="296"/>
      <c r="K187" s="296"/>
      <c r="L187" s="296"/>
      <c r="M187" s="296"/>
      <c r="N187" s="296"/>
      <c r="O187" s="296"/>
      <c r="P187" s="296"/>
      <c r="Q187" s="296"/>
      <c r="R187" s="296"/>
      <c r="S187" s="296"/>
      <c r="T187" s="296"/>
      <c r="U187" s="296"/>
      <c r="V187" s="296"/>
      <c r="W187" s="296"/>
      <c r="X187" s="296"/>
      <c r="Y187" s="296"/>
      <c r="Z187" s="296"/>
      <c r="AA187" s="296"/>
      <c r="AB187" s="296"/>
      <c r="AC187" s="296"/>
      <c r="AD187" s="296"/>
      <c r="AE187" s="296"/>
      <c r="AF187" s="296"/>
      <c r="AG187" s="296"/>
      <c r="AH187" s="296"/>
      <c r="AI187" s="296"/>
      <c r="AJ187" s="296"/>
      <c r="AK187" s="296"/>
      <c r="AL187" s="296"/>
      <c r="AM187" s="296"/>
      <c r="AN187" s="296"/>
      <c r="AO187" s="296"/>
      <c r="AP187" s="296"/>
      <c r="AQ187" s="296"/>
      <c r="AR187" s="296"/>
      <c r="AS187" s="296"/>
      <c r="AT187" s="296"/>
      <c r="AU187" s="296"/>
      <c r="AV187" s="296"/>
      <c r="AW187" s="296"/>
      <c r="AX187" s="296"/>
      <c r="AY187" s="296"/>
      <c r="AZ187" s="296"/>
      <c r="BA187" s="296"/>
      <c r="BB187" s="296"/>
      <c r="BC187" s="296"/>
      <c r="BD187" s="296"/>
      <c r="BE187" s="296"/>
    </row>
    <row r="188" spans="1:57" s="264" customFormat="1" ht="14.1" customHeight="1" x14ac:dyDescent="0.25">
      <c r="A188" s="263"/>
      <c r="C188" s="294"/>
      <c r="D188" s="294"/>
      <c r="E188" s="294"/>
      <c r="F188" s="294"/>
      <c r="G188" s="294"/>
      <c r="H188" s="294"/>
      <c r="I188" s="294"/>
      <c r="J188" s="294"/>
      <c r="K188" s="294"/>
      <c r="L188" s="294"/>
      <c r="M188" s="294"/>
      <c r="N188" s="294"/>
      <c r="O188" s="294"/>
      <c r="P188" s="294"/>
      <c r="Q188" s="294"/>
      <c r="R188" s="294"/>
      <c r="S188" s="294"/>
      <c r="T188" s="294"/>
      <c r="U188" s="294"/>
      <c r="V188" s="294"/>
      <c r="W188" s="294"/>
      <c r="X188" s="294"/>
      <c r="Y188" s="294"/>
      <c r="Z188" s="294"/>
      <c r="AA188" s="294"/>
      <c r="AB188" s="294"/>
      <c r="AC188" s="294"/>
      <c r="AD188" s="294"/>
      <c r="AE188" s="294"/>
      <c r="AF188" s="294"/>
      <c r="AG188" s="294"/>
      <c r="AH188" s="294"/>
      <c r="AI188" s="294"/>
      <c r="AJ188" s="294"/>
      <c r="AK188" s="294"/>
      <c r="AL188" s="294"/>
      <c r="AM188" s="294"/>
      <c r="AN188" s="294"/>
      <c r="AO188" s="294"/>
      <c r="AP188" s="294"/>
      <c r="AQ188" s="294"/>
      <c r="AR188" s="294"/>
      <c r="AS188" s="294"/>
      <c r="AT188" s="294"/>
      <c r="AU188" s="294"/>
      <c r="AV188" s="294"/>
      <c r="AW188" s="294"/>
      <c r="AX188" s="294"/>
      <c r="AY188" s="294"/>
      <c r="AZ188" s="294"/>
      <c r="BA188" s="294"/>
      <c r="BB188" s="294"/>
      <c r="BC188" s="294"/>
      <c r="BD188" s="294"/>
      <c r="BE188" s="294"/>
    </row>
    <row r="189" spans="1:57" s="264" customFormat="1" ht="14.1" customHeight="1" x14ac:dyDescent="0.25">
      <c r="A189" s="263"/>
      <c r="B189" s="264" t="s">
        <v>331</v>
      </c>
      <c r="C189" s="294">
        <f>SUM(E172,G172,I172)</f>
        <v>341142850.29999995</v>
      </c>
      <c r="D189" s="294">
        <f>SUM(F172,H172,J172)</f>
        <v>24286757.250000004</v>
      </c>
      <c r="E189" s="295"/>
      <c r="F189" s="295"/>
      <c r="G189" s="294"/>
      <c r="H189" s="294"/>
      <c r="I189" s="294"/>
      <c r="J189" s="294"/>
      <c r="K189" s="294"/>
      <c r="L189" s="294"/>
      <c r="M189" s="294"/>
      <c r="N189" s="294"/>
      <c r="O189" s="294"/>
      <c r="P189" s="294"/>
      <c r="Q189" s="294"/>
      <c r="R189" s="294"/>
      <c r="S189" s="294"/>
      <c r="T189" s="294"/>
      <c r="U189" s="294"/>
      <c r="V189" s="294"/>
      <c r="W189" s="294"/>
      <c r="X189" s="294"/>
      <c r="Y189" s="294"/>
      <c r="Z189" s="294"/>
      <c r="AA189" s="294"/>
      <c r="AB189" s="294"/>
      <c r="AC189" s="294"/>
      <c r="AD189" s="294"/>
      <c r="AE189" s="294"/>
      <c r="AF189" s="294"/>
      <c r="AG189" s="294"/>
      <c r="AH189" s="294"/>
      <c r="AI189" s="294"/>
      <c r="AJ189" s="294"/>
      <c r="AK189" s="294"/>
      <c r="AL189" s="294"/>
      <c r="AM189" s="294"/>
      <c r="AN189" s="294"/>
      <c r="AO189" s="294"/>
      <c r="AP189" s="294"/>
      <c r="AQ189" s="294"/>
      <c r="AR189" s="294"/>
      <c r="AS189" s="294"/>
      <c r="AT189" s="294"/>
      <c r="AU189" s="294"/>
      <c r="AV189" s="294"/>
      <c r="AW189" s="294"/>
      <c r="AX189" s="294"/>
      <c r="AY189" s="294"/>
      <c r="AZ189" s="294"/>
      <c r="BA189" s="294"/>
      <c r="BB189" s="294"/>
      <c r="BC189" s="294"/>
      <c r="BD189" s="294"/>
      <c r="BE189" s="294"/>
    </row>
    <row r="190" spans="1:57" s="268" customFormat="1" ht="14.1" customHeight="1" x14ac:dyDescent="0.25">
      <c r="A190" s="267"/>
      <c r="B190" s="268" t="s">
        <v>332</v>
      </c>
      <c r="C190" s="296">
        <f>SUM(C189-D189)</f>
        <v>316856093.04999995</v>
      </c>
      <c r="D190" s="296"/>
      <c r="E190" s="297"/>
      <c r="F190" s="296"/>
      <c r="G190" s="296"/>
      <c r="H190" s="296"/>
      <c r="I190" s="296"/>
      <c r="J190" s="296"/>
      <c r="K190" s="296"/>
      <c r="L190" s="296"/>
      <c r="M190" s="296"/>
      <c r="N190" s="296"/>
      <c r="O190" s="296"/>
      <c r="P190" s="296"/>
      <c r="Q190" s="296"/>
      <c r="R190" s="296"/>
      <c r="S190" s="296"/>
      <c r="T190" s="296"/>
      <c r="U190" s="296"/>
      <c r="V190" s="296"/>
      <c r="W190" s="296"/>
      <c r="X190" s="296"/>
      <c r="Y190" s="296"/>
      <c r="Z190" s="296"/>
      <c r="AA190" s="296"/>
      <c r="AB190" s="296"/>
      <c r="AC190" s="296"/>
      <c r="AD190" s="296"/>
      <c r="AE190" s="296"/>
      <c r="AF190" s="296"/>
      <c r="AG190" s="296"/>
      <c r="AH190" s="296"/>
      <c r="AI190" s="296"/>
      <c r="AJ190" s="296"/>
      <c r="AK190" s="296"/>
      <c r="AL190" s="296"/>
      <c r="AM190" s="296"/>
      <c r="AN190" s="296"/>
      <c r="AO190" s="296"/>
      <c r="AP190" s="296"/>
      <c r="AQ190" s="296"/>
      <c r="AR190" s="296"/>
      <c r="AS190" s="296"/>
      <c r="AT190" s="296"/>
      <c r="AU190" s="296"/>
      <c r="AV190" s="296"/>
      <c r="AW190" s="296"/>
      <c r="AX190" s="296"/>
      <c r="AY190" s="296"/>
      <c r="AZ190" s="296"/>
      <c r="BA190" s="296"/>
      <c r="BB190" s="296"/>
      <c r="BC190" s="296"/>
      <c r="BD190" s="296"/>
      <c r="BE190" s="296"/>
    </row>
    <row r="191" spans="1:57" s="264" customFormat="1" ht="14.1" customHeight="1" x14ac:dyDescent="0.25">
      <c r="A191" s="263"/>
      <c r="C191" s="294"/>
      <c r="D191" s="294"/>
      <c r="E191" s="294"/>
      <c r="F191" s="294"/>
      <c r="G191" s="294"/>
      <c r="H191" s="294"/>
      <c r="I191" s="294"/>
      <c r="J191" s="294"/>
      <c r="K191" s="294"/>
      <c r="L191" s="294"/>
      <c r="M191" s="294"/>
      <c r="N191" s="294"/>
      <c r="O191" s="294"/>
      <c r="P191" s="294"/>
      <c r="Q191" s="294"/>
      <c r="R191" s="294"/>
      <c r="S191" s="294"/>
      <c r="T191" s="294"/>
      <c r="U191" s="294"/>
      <c r="V191" s="294"/>
      <c r="W191" s="294"/>
      <c r="X191" s="294"/>
      <c r="Y191" s="294"/>
      <c r="Z191" s="294"/>
      <c r="AA191" s="294"/>
      <c r="AB191" s="294"/>
      <c r="AC191" s="294"/>
      <c r="AD191" s="294"/>
      <c r="AE191" s="294"/>
      <c r="AF191" s="294"/>
      <c r="AG191" s="294"/>
      <c r="AH191" s="294"/>
      <c r="AI191" s="294"/>
      <c r="AJ191" s="294"/>
      <c r="AK191" s="294"/>
      <c r="AL191" s="294"/>
      <c r="AM191" s="294"/>
      <c r="AN191" s="294"/>
      <c r="AO191" s="294"/>
      <c r="AP191" s="294"/>
      <c r="AQ191" s="294"/>
      <c r="AR191" s="294"/>
      <c r="AS191" s="294"/>
      <c r="AT191" s="294"/>
      <c r="AU191" s="294"/>
      <c r="AV191" s="294"/>
      <c r="AW191" s="294"/>
      <c r="AX191" s="294"/>
      <c r="AY191" s="294"/>
      <c r="AZ191" s="294"/>
      <c r="BA191" s="294"/>
      <c r="BB191" s="294"/>
      <c r="BC191" s="294"/>
      <c r="BD191" s="294"/>
      <c r="BE191" s="294"/>
    </row>
    <row r="192" spans="1:57" s="264" customFormat="1" ht="14.1" customHeight="1" x14ac:dyDescent="0.25">
      <c r="A192" s="263"/>
      <c r="B192" s="310" t="s">
        <v>362</v>
      </c>
      <c r="C192" s="311">
        <f>S172</f>
        <v>78046997.829999998</v>
      </c>
      <c r="D192" s="311">
        <f>T172</f>
        <v>28308092.240000013</v>
      </c>
      <c r="E192" s="294"/>
      <c r="F192" s="294"/>
      <c r="G192" s="294"/>
      <c r="H192" s="294"/>
      <c r="I192" s="294"/>
      <c r="J192" s="294"/>
      <c r="K192" s="294"/>
      <c r="L192" s="294"/>
      <c r="M192" s="294"/>
      <c r="N192" s="294"/>
      <c r="O192" s="294"/>
      <c r="P192" s="294"/>
      <c r="Q192" s="294"/>
      <c r="R192" s="294"/>
      <c r="S192" s="294"/>
      <c r="T192" s="294"/>
      <c r="U192" s="294"/>
      <c r="V192" s="294"/>
      <c r="W192" s="294"/>
      <c r="X192" s="294"/>
      <c r="Y192" s="294"/>
      <c r="Z192" s="294"/>
      <c r="AA192" s="294"/>
      <c r="AB192" s="294"/>
      <c r="AC192" s="294"/>
      <c r="AD192" s="294"/>
      <c r="AE192" s="294"/>
      <c r="AF192" s="294"/>
      <c r="AG192" s="294"/>
      <c r="AH192" s="294"/>
      <c r="AI192" s="294"/>
      <c r="AJ192" s="294"/>
      <c r="AK192" s="294"/>
      <c r="AL192" s="294"/>
      <c r="AM192" s="294"/>
      <c r="AN192" s="294"/>
      <c r="AO192" s="294"/>
      <c r="AP192" s="294"/>
      <c r="AQ192" s="294"/>
      <c r="AR192" s="294"/>
      <c r="AS192" s="294"/>
      <c r="AT192" s="294"/>
      <c r="AU192" s="294"/>
      <c r="AV192" s="294"/>
      <c r="AW192" s="294"/>
      <c r="AX192" s="294"/>
      <c r="AY192" s="294"/>
      <c r="AZ192" s="294"/>
      <c r="BA192" s="294"/>
      <c r="BB192" s="294"/>
      <c r="BC192" s="294"/>
      <c r="BD192" s="294"/>
      <c r="BE192" s="294"/>
    </row>
    <row r="193" spans="1:59" s="268" customFormat="1" ht="14.1" customHeight="1" x14ac:dyDescent="0.25">
      <c r="A193" s="267"/>
      <c r="B193" s="312" t="s">
        <v>363</v>
      </c>
      <c r="C193" s="313">
        <f>C192-D192</f>
        <v>49738905.589999989</v>
      </c>
      <c r="D193" s="313"/>
      <c r="E193" s="296"/>
      <c r="F193" s="296"/>
      <c r="G193" s="296"/>
      <c r="H193" s="296"/>
      <c r="I193" s="296"/>
      <c r="J193" s="296"/>
      <c r="K193" s="296"/>
      <c r="L193" s="296"/>
      <c r="M193" s="296"/>
      <c r="N193" s="296"/>
      <c r="O193" s="296"/>
      <c r="P193" s="296"/>
      <c r="Q193" s="296"/>
      <c r="R193" s="296"/>
      <c r="S193" s="296"/>
      <c r="T193" s="296"/>
      <c r="U193" s="296"/>
      <c r="V193" s="296"/>
      <c r="W193" s="296"/>
      <c r="X193" s="296"/>
      <c r="Y193" s="296"/>
      <c r="Z193" s="296"/>
      <c r="AA193" s="296"/>
      <c r="AB193" s="296"/>
      <c r="AC193" s="296"/>
      <c r="AD193" s="296"/>
      <c r="AE193" s="296"/>
      <c r="AF193" s="296"/>
      <c r="AG193" s="296"/>
      <c r="AH193" s="296"/>
      <c r="AI193" s="296"/>
      <c r="AJ193" s="296"/>
      <c r="AK193" s="296"/>
      <c r="AL193" s="296"/>
      <c r="AM193" s="296"/>
      <c r="AN193" s="296"/>
      <c r="AO193" s="296"/>
      <c r="AP193" s="296"/>
      <c r="AQ193" s="296"/>
      <c r="AR193" s="296"/>
      <c r="AS193" s="296"/>
      <c r="AT193" s="296"/>
      <c r="AU193" s="296"/>
      <c r="AV193" s="296"/>
      <c r="AW193" s="296"/>
      <c r="AX193" s="296"/>
      <c r="AY193" s="296"/>
      <c r="AZ193" s="296"/>
      <c r="BA193" s="296"/>
      <c r="BB193" s="296"/>
      <c r="BC193" s="296"/>
      <c r="BD193" s="296"/>
      <c r="BE193" s="296"/>
    </row>
    <row r="194" spans="1:59" s="264" customFormat="1" ht="14.1" customHeight="1" x14ac:dyDescent="0.25">
      <c r="A194" s="263"/>
      <c r="C194" s="294"/>
      <c r="D194" s="294"/>
      <c r="E194" s="294"/>
      <c r="F194" s="294"/>
      <c r="G194" s="294"/>
      <c r="H194" s="294"/>
      <c r="I194" s="294"/>
      <c r="J194" s="294"/>
      <c r="K194" s="294"/>
      <c r="L194" s="294"/>
      <c r="M194" s="294"/>
      <c r="N194" s="294"/>
      <c r="O194" s="294"/>
      <c r="P194" s="294"/>
      <c r="Q194" s="294"/>
      <c r="R194" s="294"/>
      <c r="S194" s="294"/>
      <c r="T194" s="294"/>
      <c r="U194" s="294"/>
      <c r="V194" s="294"/>
      <c r="W194" s="294"/>
      <c r="X194" s="294"/>
      <c r="Y194" s="294"/>
      <c r="Z194" s="294"/>
      <c r="AA194" s="294"/>
      <c r="AB194" s="294"/>
      <c r="AC194" s="294"/>
      <c r="AD194" s="294"/>
      <c r="AE194" s="294"/>
      <c r="AF194" s="294"/>
      <c r="AG194" s="294"/>
      <c r="AH194" s="294"/>
      <c r="AI194" s="294"/>
      <c r="AJ194" s="294"/>
      <c r="AK194" s="294"/>
      <c r="AL194" s="294"/>
      <c r="AM194" s="294"/>
      <c r="AN194" s="294"/>
      <c r="AO194" s="294"/>
      <c r="AP194" s="294"/>
      <c r="AQ194" s="294"/>
      <c r="AR194" s="294"/>
      <c r="AS194" s="294"/>
      <c r="AT194" s="294"/>
      <c r="AU194" s="294"/>
      <c r="AV194" s="294"/>
      <c r="AW194" s="294"/>
      <c r="AX194" s="294"/>
      <c r="AY194" s="294"/>
      <c r="AZ194" s="294"/>
      <c r="BA194" s="294"/>
      <c r="BB194" s="294"/>
      <c r="BC194" s="294"/>
      <c r="BD194" s="294"/>
      <c r="BE194" s="294"/>
      <c r="BF194" s="294"/>
      <c r="BG194" s="294"/>
    </row>
    <row r="195" spans="1:59" s="264" customFormat="1" ht="14.1" customHeight="1" x14ac:dyDescent="0.25">
      <c r="A195" s="263"/>
      <c r="C195" s="294">
        <f>SUM(C178,C181,C184,C187,C190)</f>
        <v>541906718.63</v>
      </c>
      <c r="D195" s="294"/>
      <c r="E195" s="294"/>
      <c r="F195" s="294"/>
      <c r="G195" s="294"/>
      <c r="H195" s="294"/>
      <c r="I195" s="294"/>
      <c r="J195" s="294"/>
      <c r="K195" s="294"/>
      <c r="L195" s="294"/>
      <c r="M195" s="294"/>
      <c r="N195" s="294"/>
      <c r="O195" s="294"/>
      <c r="P195" s="294"/>
      <c r="Q195" s="294"/>
      <c r="R195" s="294"/>
      <c r="S195" s="294"/>
      <c r="T195" s="294"/>
      <c r="U195" s="294"/>
      <c r="V195" s="294"/>
      <c r="W195" s="294"/>
      <c r="X195" s="294"/>
      <c r="Y195" s="294"/>
      <c r="Z195" s="294"/>
      <c r="AA195" s="294"/>
      <c r="AB195" s="294"/>
      <c r="AC195" s="294"/>
      <c r="AD195" s="294"/>
      <c r="AE195" s="294"/>
      <c r="AF195" s="294"/>
      <c r="AG195" s="294"/>
      <c r="AH195" s="294"/>
      <c r="AI195" s="294"/>
      <c r="AJ195" s="294"/>
      <c r="AK195" s="294"/>
      <c r="AL195" s="294"/>
      <c r="AM195" s="294"/>
      <c r="AN195" s="294"/>
      <c r="AO195" s="294"/>
      <c r="AP195" s="294"/>
      <c r="AQ195" s="294"/>
      <c r="AR195" s="294"/>
      <c r="AS195" s="294"/>
      <c r="AT195" s="294"/>
      <c r="AU195" s="294"/>
      <c r="AV195" s="294"/>
      <c r="AW195" s="294"/>
      <c r="AX195" s="294"/>
      <c r="AY195" s="294"/>
      <c r="AZ195" s="294"/>
      <c r="BA195" s="294"/>
      <c r="BB195" s="294"/>
      <c r="BC195" s="294"/>
      <c r="BD195" s="294"/>
      <c r="BE195" s="294"/>
      <c r="BF195" s="294"/>
      <c r="BG195" s="294"/>
    </row>
    <row r="196" spans="1:59" s="264" customFormat="1" ht="14.1" customHeight="1" x14ac:dyDescent="0.25">
      <c r="A196" s="263"/>
      <c r="C196" s="294"/>
      <c r="D196" s="294"/>
      <c r="E196" s="294"/>
      <c r="F196" s="294"/>
      <c r="G196" s="294"/>
      <c r="H196" s="294"/>
      <c r="I196" s="294"/>
      <c r="J196" s="294"/>
      <c r="K196" s="294"/>
      <c r="L196" s="294"/>
      <c r="M196" s="294"/>
      <c r="N196" s="294"/>
      <c r="O196" s="294"/>
      <c r="P196" s="294"/>
      <c r="Q196" s="294"/>
      <c r="R196" s="294"/>
      <c r="S196" s="294"/>
      <c r="T196" s="294"/>
      <c r="U196" s="294"/>
      <c r="V196" s="294"/>
      <c r="W196" s="294"/>
      <c r="X196" s="294"/>
      <c r="Y196" s="294"/>
      <c r="Z196" s="294"/>
      <c r="AA196" s="294"/>
      <c r="AB196" s="294"/>
      <c r="AC196" s="294"/>
      <c r="AD196" s="294"/>
      <c r="AE196" s="294"/>
      <c r="AF196" s="294"/>
      <c r="AG196" s="294"/>
      <c r="AH196" s="294"/>
      <c r="AI196" s="294"/>
      <c r="AJ196" s="294"/>
      <c r="AK196" s="294"/>
      <c r="AL196" s="294"/>
      <c r="AM196" s="294"/>
      <c r="AN196" s="294"/>
      <c r="AO196" s="294"/>
      <c r="AP196" s="294"/>
      <c r="AQ196" s="294"/>
      <c r="AR196" s="294"/>
      <c r="AS196" s="294"/>
      <c r="AT196" s="294"/>
      <c r="AU196" s="294"/>
      <c r="AV196" s="294"/>
      <c r="AW196" s="294"/>
      <c r="AX196" s="294"/>
      <c r="AY196" s="294"/>
      <c r="AZ196" s="294"/>
      <c r="BA196" s="294"/>
      <c r="BB196" s="294"/>
      <c r="BC196" s="294"/>
      <c r="BD196" s="294"/>
      <c r="BE196" s="294"/>
      <c r="BF196" s="294"/>
      <c r="BG196" s="294"/>
    </row>
    <row r="197" spans="1:59" s="264" customFormat="1" ht="14.1" customHeight="1" x14ac:dyDescent="0.25">
      <c r="A197" s="263"/>
      <c r="C197" s="294"/>
      <c r="D197" s="294"/>
      <c r="E197" s="294"/>
      <c r="F197" s="294"/>
      <c r="G197" s="294"/>
      <c r="H197" s="294"/>
      <c r="I197" s="294"/>
      <c r="J197" s="294"/>
      <c r="K197" s="294"/>
      <c r="L197" s="294"/>
      <c r="M197" s="294"/>
      <c r="N197" s="294"/>
      <c r="O197" s="294"/>
      <c r="P197" s="294"/>
      <c r="Q197" s="294"/>
      <c r="R197" s="294"/>
      <c r="S197" s="294"/>
      <c r="T197" s="294"/>
      <c r="U197" s="294"/>
      <c r="V197" s="294"/>
      <c r="W197" s="294"/>
      <c r="X197" s="294"/>
      <c r="Y197" s="294"/>
      <c r="Z197" s="294"/>
      <c r="AA197" s="294"/>
      <c r="AB197" s="294"/>
      <c r="AC197" s="294"/>
      <c r="AD197" s="294"/>
      <c r="AE197" s="294"/>
      <c r="AF197" s="294"/>
      <c r="AG197" s="294"/>
      <c r="AH197" s="294"/>
      <c r="AI197" s="294"/>
      <c r="AJ197" s="294"/>
      <c r="AK197" s="294"/>
      <c r="AL197" s="294"/>
      <c r="AM197" s="294"/>
      <c r="AN197" s="294"/>
      <c r="AO197" s="294"/>
      <c r="AP197" s="294"/>
      <c r="AQ197" s="294"/>
      <c r="AR197" s="294"/>
      <c r="AS197" s="294"/>
      <c r="AT197" s="294"/>
      <c r="AU197" s="294"/>
      <c r="AV197" s="294"/>
      <c r="AW197" s="294"/>
      <c r="AX197" s="294"/>
      <c r="AY197" s="294"/>
      <c r="AZ197" s="294"/>
      <c r="BA197" s="294"/>
      <c r="BB197" s="294"/>
      <c r="BC197" s="294"/>
      <c r="BD197" s="294"/>
      <c r="BE197" s="294"/>
      <c r="BF197" s="294"/>
      <c r="BG197" s="294"/>
    </row>
    <row r="198" spans="1:59" s="264" customFormat="1" ht="14.1" customHeight="1" x14ac:dyDescent="0.25">
      <c r="A198" s="263"/>
      <c r="C198" s="294"/>
      <c r="D198" s="294"/>
      <c r="E198" s="294"/>
      <c r="F198" s="294"/>
      <c r="G198" s="294"/>
      <c r="H198" s="294"/>
      <c r="I198" s="294"/>
      <c r="J198" s="294"/>
      <c r="K198" s="294"/>
      <c r="L198" s="294"/>
      <c r="M198" s="294"/>
      <c r="N198" s="294"/>
      <c r="O198" s="294"/>
      <c r="P198" s="294"/>
      <c r="Q198" s="294"/>
      <c r="R198" s="294"/>
      <c r="S198" s="294"/>
      <c r="T198" s="294"/>
      <c r="U198" s="294"/>
      <c r="V198" s="294"/>
      <c r="W198" s="294"/>
      <c r="X198" s="294"/>
      <c r="Y198" s="294"/>
      <c r="Z198" s="294"/>
      <c r="AA198" s="294"/>
      <c r="AB198" s="294"/>
      <c r="AC198" s="294"/>
      <c r="AD198" s="294"/>
      <c r="AE198" s="294"/>
      <c r="AF198" s="294"/>
      <c r="AG198" s="294"/>
      <c r="AH198" s="294"/>
      <c r="AI198" s="294"/>
      <c r="AJ198" s="294"/>
      <c r="AK198" s="294"/>
      <c r="AL198" s="294"/>
      <c r="AM198" s="294"/>
      <c r="AN198" s="294"/>
      <c r="AO198" s="294"/>
      <c r="AP198" s="294"/>
      <c r="AQ198" s="294"/>
      <c r="AR198" s="294"/>
      <c r="AS198" s="294"/>
      <c r="AT198" s="294"/>
      <c r="AU198" s="294"/>
      <c r="AV198" s="294"/>
      <c r="AW198" s="294"/>
      <c r="AX198" s="294"/>
      <c r="AY198" s="294"/>
      <c r="AZ198" s="294"/>
      <c r="BA198" s="294"/>
      <c r="BB198" s="294"/>
      <c r="BC198" s="294"/>
      <c r="BD198" s="294"/>
      <c r="BE198" s="294"/>
      <c r="BF198" s="294"/>
      <c r="BG198" s="294"/>
    </row>
    <row r="199" spans="1:59" s="264" customFormat="1" ht="14.1" customHeight="1" x14ac:dyDescent="0.25">
      <c r="A199" s="263"/>
      <c r="C199" s="294"/>
      <c r="D199" s="294"/>
      <c r="E199" s="294"/>
      <c r="F199" s="294"/>
      <c r="G199" s="294"/>
      <c r="H199" s="294"/>
      <c r="I199" s="294"/>
      <c r="J199" s="294"/>
      <c r="K199" s="294"/>
      <c r="L199" s="294"/>
      <c r="M199" s="294"/>
      <c r="N199" s="294"/>
      <c r="O199" s="294"/>
      <c r="P199" s="294"/>
      <c r="Q199" s="294"/>
      <c r="R199" s="294"/>
      <c r="S199" s="294"/>
      <c r="T199" s="294"/>
      <c r="U199" s="294"/>
      <c r="V199" s="294"/>
      <c r="W199" s="294"/>
      <c r="X199" s="294"/>
      <c r="Y199" s="294"/>
      <c r="Z199" s="294"/>
      <c r="AA199" s="294"/>
      <c r="AB199" s="294"/>
      <c r="AC199" s="294"/>
      <c r="AD199" s="294"/>
      <c r="AE199" s="294"/>
      <c r="AF199" s="294"/>
      <c r="AG199" s="294"/>
      <c r="AH199" s="294"/>
      <c r="AI199" s="294"/>
      <c r="AJ199" s="294"/>
      <c r="AK199" s="294"/>
      <c r="AL199" s="294"/>
      <c r="AM199" s="294"/>
      <c r="AN199" s="294"/>
      <c r="AO199" s="294"/>
      <c r="AP199" s="294"/>
      <c r="AQ199" s="294"/>
      <c r="AR199" s="294"/>
      <c r="AS199" s="294"/>
      <c r="AT199" s="294"/>
      <c r="AU199" s="294"/>
      <c r="AV199" s="294"/>
      <c r="AW199" s="294"/>
      <c r="AX199" s="294"/>
      <c r="AY199" s="294"/>
      <c r="AZ199" s="294"/>
      <c r="BA199" s="294"/>
      <c r="BB199" s="294"/>
      <c r="BC199" s="294"/>
      <c r="BD199" s="294"/>
      <c r="BE199" s="294"/>
      <c r="BF199" s="294"/>
      <c r="BG199" s="294"/>
    </row>
    <row r="200" spans="1:59" s="264" customFormat="1" ht="14.1" customHeight="1" x14ac:dyDescent="0.25">
      <c r="A200" s="263"/>
      <c r="C200" s="294"/>
      <c r="D200" s="294"/>
      <c r="E200" s="294"/>
      <c r="F200" s="294"/>
      <c r="G200" s="294"/>
      <c r="H200" s="294"/>
      <c r="I200" s="294"/>
      <c r="J200" s="294"/>
      <c r="K200" s="294"/>
      <c r="L200" s="294"/>
      <c r="M200" s="294"/>
      <c r="N200" s="294"/>
      <c r="O200" s="294"/>
      <c r="P200" s="294"/>
      <c r="Q200" s="294"/>
      <c r="R200" s="294"/>
      <c r="S200" s="294"/>
      <c r="T200" s="294"/>
      <c r="U200" s="294"/>
      <c r="V200" s="294"/>
      <c r="W200" s="294"/>
      <c r="X200" s="294"/>
      <c r="Y200" s="294"/>
      <c r="Z200" s="294"/>
      <c r="AA200" s="294"/>
      <c r="AB200" s="294"/>
      <c r="AC200" s="294"/>
      <c r="AD200" s="294"/>
      <c r="AE200" s="294"/>
      <c r="AF200" s="294"/>
      <c r="AG200" s="294"/>
      <c r="AH200" s="294"/>
      <c r="AI200" s="294"/>
      <c r="AJ200" s="294"/>
      <c r="AK200" s="294"/>
      <c r="AL200" s="294"/>
      <c r="AM200" s="294"/>
      <c r="AN200" s="294"/>
      <c r="AO200" s="294"/>
      <c r="AP200" s="294"/>
      <c r="AQ200" s="294"/>
      <c r="AR200" s="294"/>
      <c r="AS200" s="294"/>
      <c r="AT200" s="294"/>
      <c r="AU200" s="294"/>
      <c r="AV200" s="294"/>
      <c r="AW200" s="294"/>
      <c r="AX200" s="294"/>
      <c r="AY200" s="294"/>
      <c r="AZ200" s="294"/>
      <c r="BA200" s="294"/>
      <c r="BB200" s="294"/>
      <c r="BC200" s="294"/>
      <c r="BD200" s="294"/>
      <c r="BE200" s="294"/>
      <c r="BF200" s="294"/>
      <c r="BG200" s="294"/>
    </row>
    <row r="201" spans="1:59" s="264" customFormat="1" ht="14.1" customHeight="1" x14ac:dyDescent="0.25">
      <c r="A201" s="263"/>
      <c r="C201" s="294"/>
      <c r="D201" s="294"/>
      <c r="E201" s="294"/>
      <c r="F201" s="294"/>
      <c r="G201" s="294"/>
      <c r="H201" s="294"/>
      <c r="I201" s="294"/>
      <c r="J201" s="294"/>
      <c r="K201" s="294"/>
      <c r="L201" s="294"/>
      <c r="M201" s="294"/>
      <c r="N201" s="294"/>
      <c r="O201" s="294"/>
      <c r="P201" s="294"/>
      <c r="Q201" s="294"/>
      <c r="R201" s="294"/>
      <c r="S201" s="294"/>
      <c r="T201" s="294"/>
      <c r="U201" s="294"/>
      <c r="V201" s="294"/>
      <c r="W201" s="294"/>
      <c r="X201" s="294"/>
      <c r="Y201" s="294"/>
      <c r="Z201" s="294"/>
      <c r="AA201" s="294"/>
      <c r="AB201" s="294"/>
      <c r="AC201" s="294"/>
      <c r="AD201" s="294"/>
      <c r="AE201" s="294"/>
      <c r="AF201" s="294"/>
      <c r="AG201" s="294"/>
      <c r="AH201" s="294"/>
      <c r="AI201" s="294"/>
      <c r="AJ201" s="294"/>
      <c r="AK201" s="294"/>
      <c r="AL201" s="294"/>
      <c r="AM201" s="294"/>
      <c r="AN201" s="294"/>
      <c r="AO201" s="294"/>
      <c r="AP201" s="294"/>
      <c r="AQ201" s="294"/>
      <c r="AR201" s="294"/>
      <c r="AS201" s="294"/>
      <c r="AT201" s="294"/>
      <c r="AU201" s="294"/>
      <c r="AV201" s="294"/>
      <c r="AW201" s="294"/>
      <c r="AX201" s="294"/>
      <c r="AY201" s="294"/>
      <c r="AZ201" s="294"/>
      <c r="BA201" s="294"/>
      <c r="BB201" s="294"/>
      <c r="BC201" s="294"/>
      <c r="BD201" s="294"/>
      <c r="BE201" s="294"/>
      <c r="BF201" s="294"/>
      <c r="BG201" s="294"/>
    </row>
    <row r="202" spans="1:59" s="264" customFormat="1" ht="14.1" customHeight="1" x14ac:dyDescent="0.25">
      <c r="A202" s="263"/>
      <c r="C202" s="294"/>
      <c r="D202" s="294"/>
      <c r="E202" s="294"/>
      <c r="F202" s="294"/>
      <c r="G202" s="294"/>
      <c r="H202" s="294"/>
      <c r="I202" s="294"/>
      <c r="J202" s="294"/>
      <c r="K202" s="294"/>
      <c r="L202" s="294"/>
      <c r="M202" s="294"/>
      <c r="N202" s="294"/>
      <c r="O202" s="294"/>
      <c r="P202" s="294"/>
      <c r="Q202" s="294"/>
      <c r="R202" s="294"/>
      <c r="S202" s="294"/>
      <c r="T202" s="294"/>
      <c r="U202" s="294"/>
      <c r="V202" s="294"/>
      <c r="W202" s="294"/>
      <c r="X202" s="294"/>
      <c r="Y202" s="294"/>
      <c r="Z202" s="294"/>
      <c r="AA202" s="294"/>
      <c r="AB202" s="294"/>
      <c r="AC202" s="294"/>
      <c r="AD202" s="294"/>
      <c r="AE202" s="294"/>
      <c r="AF202" s="294"/>
      <c r="AG202" s="294"/>
      <c r="AH202" s="294"/>
      <c r="AI202" s="294"/>
      <c r="AJ202" s="294"/>
      <c r="AK202" s="294"/>
      <c r="AL202" s="294"/>
      <c r="AM202" s="294"/>
      <c r="AN202" s="294"/>
      <c r="AO202" s="294"/>
      <c r="AP202" s="294"/>
      <c r="AQ202" s="294"/>
      <c r="AR202" s="294"/>
      <c r="AS202" s="294"/>
      <c r="AT202" s="294"/>
      <c r="AU202" s="294"/>
      <c r="AV202" s="294"/>
      <c r="AW202" s="294"/>
      <c r="AX202" s="294"/>
      <c r="AY202" s="294"/>
      <c r="AZ202" s="294"/>
      <c r="BA202" s="294"/>
      <c r="BB202" s="294"/>
      <c r="BC202" s="294"/>
      <c r="BD202" s="294"/>
      <c r="BE202" s="294"/>
      <c r="BF202" s="294"/>
      <c r="BG202" s="294"/>
    </row>
    <row r="203" spans="1:59" s="264" customFormat="1" ht="14.1" customHeight="1" x14ac:dyDescent="0.25">
      <c r="A203" s="263"/>
      <c r="C203" s="294"/>
      <c r="D203" s="294"/>
      <c r="E203" s="294"/>
      <c r="F203" s="294"/>
      <c r="G203" s="294"/>
      <c r="H203" s="294"/>
      <c r="I203" s="294"/>
      <c r="J203" s="294"/>
      <c r="K203" s="294"/>
      <c r="L203" s="294"/>
      <c r="M203" s="294"/>
      <c r="N203" s="294"/>
      <c r="O203" s="294"/>
      <c r="P203" s="294"/>
      <c r="Q203" s="294"/>
      <c r="R203" s="294"/>
      <c r="S203" s="294"/>
      <c r="T203" s="294"/>
      <c r="U203" s="294"/>
      <c r="V203" s="294"/>
      <c r="W203" s="294"/>
      <c r="X203" s="294"/>
      <c r="Y203" s="294"/>
      <c r="Z203" s="294"/>
      <c r="AA203" s="294"/>
      <c r="AB203" s="294"/>
      <c r="AC203" s="294"/>
      <c r="AD203" s="294"/>
      <c r="AE203" s="294"/>
      <c r="AF203" s="294"/>
      <c r="AG203" s="294"/>
      <c r="AH203" s="294"/>
      <c r="AI203" s="294"/>
      <c r="AJ203" s="294"/>
      <c r="AK203" s="294"/>
      <c r="AL203" s="294"/>
      <c r="AM203" s="294"/>
      <c r="AN203" s="294"/>
      <c r="AO203" s="294"/>
      <c r="AP203" s="294"/>
      <c r="AQ203" s="294"/>
      <c r="AR203" s="294"/>
      <c r="AS203" s="294"/>
      <c r="AT203" s="294"/>
      <c r="AU203" s="294"/>
      <c r="AV203" s="294"/>
      <c r="AW203" s="294"/>
      <c r="AX203" s="294"/>
      <c r="AY203" s="294"/>
      <c r="AZ203" s="294"/>
      <c r="BA203" s="294"/>
      <c r="BB203" s="294"/>
      <c r="BC203" s="294"/>
      <c r="BD203" s="294"/>
      <c r="BE203" s="294"/>
      <c r="BF203" s="294"/>
      <c r="BG203" s="294"/>
    </row>
    <row r="204" spans="1:59" s="264" customFormat="1" ht="14.1" customHeight="1" x14ac:dyDescent="0.25">
      <c r="A204" s="263"/>
      <c r="C204" s="294"/>
      <c r="D204" s="294"/>
      <c r="E204" s="294"/>
      <c r="F204" s="294"/>
      <c r="G204" s="294"/>
      <c r="H204" s="294"/>
      <c r="I204" s="294"/>
      <c r="J204" s="294"/>
      <c r="K204" s="294"/>
      <c r="L204" s="294"/>
      <c r="M204" s="294"/>
      <c r="N204" s="294"/>
      <c r="O204" s="294"/>
      <c r="P204" s="294"/>
      <c r="Q204" s="294"/>
      <c r="R204" s="294"/>
      <c r="S204" s="294"/>
      <c r="T204" s="294"/>
      <c r="U204" s="294"/>
      <c r="V204" s="294"/>
      <c r="W204" s="294"/>
      <c r="X204" s="294"/>
      <c r="Y204" s="294"/>
      <c r="Z204" s="294"/>
      <c r="AA204" s="294"/>
      <c r="AB204" s="294"/>
      <c r="AC204" s="294"/>
      <c r="AD204" s="294"/>
      <c r="AE204" s="294"/>
      <c r="AF204" s="294"/>
      <c r="AG204" s="294"/>
      <c r="AH204" s="294"/>
      <c r="AI204" s="294"/>
      <c r="AJ204" s="294"/>
      <c r="AK204" s="294"/>
      <c r="AL204" s="294"/>
      <c r="AM204" s="294"/>
      <c r="AN204" s="294"/>
      <c r="AO204" s="294"/>
      <c r="AP204" s="294"/>
      <c r="AQ204" s="294"/>
      <c r="AR204" s="294"/>
      <c r="AS204" s="294"/>
      <c r="AT204" s="294"/>
      <c r="AU204" s="294"/>
      <c r="AV204" s="294"/>
      <c r="AW204" s="294"/>
      <c r="AX204" s="294"/>
      <c r="AY204" s="294"/>
      <c r="AZ204" s="294"/>
      <c r="BA204" s="294"/>
      <c r="BB204" s="294"/>
      <c r="BC204" s="294"/>
      <c r="BD204" s="294"/>
      <c r="BE204" s="294"/>
      <c r="BF204" s="294"/>
      <c r="BG204" s="294"/>
    </row>
    <row r="205" spans="1:59" s="264" customFormat="1" ht="14.1" customHeight="1" x14ac:dyDescent="0.25">
      <c r="A205" s="263"/>
      <c r="C205" s="294"/>
      <c r="D205" s="294"/>
      <c r="E205" s="294"/>
      <c r="F205" s="294"/>
      <c r="G205" s="294"/>
      <c r="H205" s="294"/>
      <c r="I205" s="294"/>
      <c r="J205" s="294"/>
      <c r="K205" s="294"/>
      <c r="L205" s="294"/>
      <c r="M205" s="294"/>
      <c r="N205" s="294"/>
      <c r="O205" s="294"/>
      <c r="P205" s="294"/>
      <c r="Q205" s="294"/>
      <c r="R205" s="294"/>
      <c r="S205" s="294"/>
      <c r="T205" s="294"/>
      <c r="U205" s="294"/>
      <c r="V205" s="294"/>
      <c r="W205" s="294"/>
      <c r="X205" s="294"/>
      <c r="Y205" s="294"/>
      <c r="Z205" s="294"/>
      <c r="AA205" s="294"/>
      <c r="AB205" s="294"/>
      <c r="AC205" s="294"/>
      <c r="AD205" s="294"/>
      <c r="AE205" s="294"/>
      <c r="AF205" s="294"/>
      <c r="AG205" s="294"/>
      <c r="AH205" s="294"/>
      <c r="AI205" s="294"/>
      <c r="AJ205" s="294"/>
      <c r="AK205" s="294"/>
      <c r="AL205" s="294"/>
      <c r="AM205" s="294"/>
      <c r="AN205" s="294"/>
      <c r="AO205" s="294"/>
      <c r="AP205" s="294"/>
      <c r="AQ205" s="294"/>
      <c r="AR205" s="294"/>
      <c r="AS205" s="294"/>
      <c r="AT205" s="294"/>
      <c r="AU205" s="294"/>
      <c r="AV205" s="294"/>
      <c r="AW205" s="294"/>
      <c r="AX205" s="294"/>
      <c r="AY205" s="294"/>
      <c r="AZ205" s="294"/>
      <c r="BA205" s="294"/>
      <c r="BB205" s="294"/>
      <c r="BC205" s="294"/>
      <c r="BD205" s="294"/>
      <c r="BE205" s="294"/>
      <c r="BF205" s="294"/>
      <c r="BG205" s="294"/>
    </row>
    <row r="206" spans="1:59" s="264" customFormat="1" ht="14.1" customHeight="1" x14ac:dyDescent="0.25">
      <c r="A206" s="263"/>
      <c r="C206" s="294"/>
      <c r="D206" s="294"/>
      <c r="E206" s="294"/>
      <c r="F206" s="294"/>
      <c r="G206" s="294"/>
      <c r="H206" s="294"/>
      <c r="I206" s="294"/>
      <c r="J206" s="294"/>
      <c r="K206" s="294"/>
      <c r="L206" s="294"/>
      <c r="M206" s="294"/>
      <c r="N206" s="294"/>
      <c r="O206" s="294"/>
      <c r="P206" s="294"/>
      <c r="Q206" s="294"/>
      <c r="R206" s="294"/>
      <c r="S206" s="294"/>
      <c r="T206" s="294"/>
      <c r="U206" s="294"/>
      <c r="V206" s="294"/>
      <c r="W206" s="294"/>
      <c r="X206" s="294"/>
      <c r="Y206" s="294"/>
      <c r="Z206" s="294"/>
      <c r="AA206" s="294"/>
      <c r="AB206" s="294"/>
      <c r="AC206" s="294"/>
      <c r="AD206" s="294"/>
      <c r="AE206" s="294"/>
      <c r="AF206" s="294"/>
      <c r="AG206" s="294"/>
      <c r="AH206" s="294"/>
      <c r="AI206" s="294"/>
      <c r="AJ206" s="294"/>
      <c r="AK206" s="294"/>
      <c r="AL206" s="294"/>
      <c r="AM206" s="294"/>
      <c r="AN206" s="294"/>
      <c r="AO206" s="294"/>
      <c r="AP206" s="294"/>
      <c r="AQ206" s="294"/>
      <c r="AR206" s="294"/>
      <c r="AS206" s="294"/>
      <c r="AT206" s="294"/>
      <c r="AU206" s="294"/>
      <c r="AV206" s="294"/>
      <c r="AW206" s="294"/>
      <c r="AX206" s="294"/>
      <c r="AY206" s="294"/>
      <c r="AZ206" s="294"/>
      <c r="BA206" s="294"/>
      <c r="BB206" s="294"/>
      <c r="BC206" s="294"/>
      <c r="BD206" s="294"/>
      <c r="BE206" s="294"/>
      <c r="BF206" s="294"/>
      <c r="BG206" s="294"/>
    </row>
    <row r="207" spans="1:59" s="264" customFormat="1" ht="14.1" customHeight="1" x14ac:dyDescent="0.25">
      <c r="A207" s="263"/>
      <c r="C207" s="294"/>
      <c r="D207" s="294"/>
      <c r="E207" s="294"/>
      <c r="F207" s="294"/>
      <c r="G207" s="294"/>
      <c r="H207" s="294"/>
      <c r="I207" s="294"/>
      <c r="J207" s="294"/>
      <c r="K207" s="294"/>
      <c r="L207" s="294"/>
      <c r="M207" s="294"/>
      <c r="N207" s="294"/>
      <c r="O207" s="294"/>
      <c r="P207" s="294"/>
      <c r="Q207" s="294"/>
      <c r="R207" s="294"/>
      <c r="S207" s="294"/>
      <c r="T207" s="294"/>
      <c r="U207" s="294"/>
      <c r="V207" s="294"/>
      <c r="W207" s="294"/>
      <c r="X207" s="294"/>
      <c r="Y207" s="294"/>
      <c r="Z207" s="294"/>
      <c r="AA207" s="294"/>
      <c r="AB207" s="294"/>
      <c r="AC207" s="294"/>
      <c r="AD207" s="294"/>
      <c r="AE207" s="294"/>
      <c r="AF207" s="294"/>
      <c r="AG207" s="294"/>
      <c r="AH207" s="294"/>
      <c r="AI207" s="294"/>
      <c r="AJ207" s="294"/>
      <c r="AK207" s="294"/>
      <c r="AL207" s="294"/>
      <c r="AM207" s="294"/>
      <c r="AN207" s="294"/>
      <c r="AO207" s="294"/>
      <c r="AP207" s="294"/>
      <c r="AQ207" s="294"/>
      <c r="AR207" s="294"/>
      <c r="AS207" s="294"/>
      <c r="AT207" s="294"/>
      <c r="AU207" s="294"/>
      <c r="AV207" s="294"/>
      <c r="AW207" s="294"/>
      <c r="AX207" s="294"/>
      <c r="AY207" s="294"/>
      <c r="AZ207" s="294"/>
      <c r="BA207" s="294"/>
      <c r="BB207" s="294"/>
      <c r="BC207" s="294"/>
      <c r="BD207" s="294"/>
      <c r="BE207" s="294"/>
      <c r="BF207" s="294"/>
      <c r="BG207" s="294"/>
    </row>
    <row r="208" spans="1:59" s="264" customFormat="1" ht="14.1" customHeight="1" x14ac:dyDescent="0.25">
      <c r="A208" s="263"/>
      <c r="C208" s="294"/>
      <c r="D208" s="294"/>
      <c r="E208" s="294"/>
      <c r="F208" s="294"/>
      <c r="G208" s="294"/>
      <c r="H208" s="294"/>
      <c r="I208" s="294"/>
      <c r="J208" s="294"/>
      <c r="K208" s="294"/>
      <c r="L208" s="294"/>
      <c r="M208" s="294"/>
      <c r="N208" s="294"/>
      <c r="O208" s="294"/>
      <c r="P208" s="294"/>
      <c r="Q208" s="294"/>
      <c r="R208" s="294"/>
      <c r="S208" s="294"/>
      <c r="T208" s="294"/>
      <c r="U208" s="294"/>
      <c r="V208" s="294"/>
      <c r="W208" s="294"/>
      <c r="X208" s="294"/>
      <c r="Y208" s="294"/>
      <c r="Z208" s="294"/>
      <c r="AA208" s="294"/>
      <c r="AB208" s="294"/>
      <c r="AC208" s="294"/>
      <c r="AD208" s="294"/>
      <c r="AE208" s="294"/>
      <c r="AF208" s="294"/>
      <c r="AG208" s="294"/>
      <c r="AH208" s="294"/>
      <c r="AI208" s="294"/>
      <c r="AJ208" s="294"/>
      <c r="AK208" s="294"/>
      <c r="AL208" s="294"/>
      <c r="AM208" s="294"/>
      <c r="AN208" s="294"/>
      <c r="AO208" s="294"/>
      <c r="AP208" s="294"/>
      <c r="AQ208" s="294"/>
      <c r="AR208" s="294"/>
      <c r="AS208" s="294"/>
      <c r="AT208" s="294"/>
      <c r="AU208" s="294"/>
      <c r="AV208" s="294"/>
      <c r="AW208" s="294"/>
      <c r="AX208" s="294"/>
      <c r="AY208" s="294"/>
      <c r="AZ208" s="294"/>
      <c r="BA208" s="294"/>
      <c r="BB208" s="294"/>
      <c r="BC208" s="294"/>
      <c r="BD208" s="294"/>
      <c r="BE208" s="294"/>
      <c r="BF208" s="294"/>
      <c r="BG208" s="294"/>
    </row>
    <row r="209" spans="1:59" s="264" customFormat="1" ht="14.1" customHeight="1" x14ac:dyDescent="0.25">
      <c r="A209" s="263"/>
      <c r="C209" s="294"/>
      <c r="D209" s="294"/>
      <c r="E209" s="294"/>
      <c r="F209" s="294"/>
      <c r="G209" s="294"/>
      <c r="H209" s="294"/>
      <c r="I209" s="294"/>
      <c r="J209" s="294"/>
      <c r="K209" s="294"/>
      <c r="L209" s="294"/>
      <c r="M209" s="294"/>
      <c r="N209" s="294"/>
      <c r="O209" s="294"/>
      <c r="P209" s="294"/>
      <c r="Q209" s="294"/>
      <c r="R209" s="294"/>
      <c r="S209" s="294"/>
      <c r="T209" s="294"/>
      <c r="U209" s="294"/>
      <c r="V209" s="294"/>
      <c r="W209" s="294"/>
      <c r="X209" s="294"/>
      <c r="Y209" s="294"/>
      <c r="Z209" s="294"/>
      <c r="AA209" s="294"/>
      <c r="AB209" s="294"/>
      <c r="AC209" s="294"/>
      <c r="AD209" s="294"/>
      <c r="AE209" s="294"/>
      <c r="AF209" s="294"/>
      <c r="AG209" s="294"/>
      <c r="AH209" s="294"/>
      <c r="AI209" s="294"/>
      <c r="AJ209" s="294"/>
      <c r="AK209" s="294"/>
      <c r="AL209" s="294"/>
      <c r="AM209" s="294"/>
      <c r="AN209" s="294"/>
      <c r="AO209" s="294"/>
      <c r="AP209" s="294"/>
      <c r="AQ209" s="294"/>
      <c r="AR209" s="294"/>
      <c r="AS209" s="294"/>
      <c r="AT209" s="294"/>
      <c r="AU209" s="294"/>
      <c r="AV209" s="294"/>
      <c r="AW209" s="294"/>
      <c r="AX209" s="294"/>
      <c r="AY209" s="294"/>
      <c r="AZ209" s="294"/>
      <c r="BA209" s="294"/>
      <c r="BB209" s="294"/>
      <c r="BC209" s="294"/>
      <c r="BD209" s="294"/>
      <c r="BE209" s="294"/>
      <c r="BF209" s="294"/>
      <c r="BG209" s="294"/>
    </row>
    <row r="210" spans="1:59" s="264" customFormat="1" ht="14.1" customHeight="1" x14ac:dyDescent="0.25">
      <c r="A210" s="263"/>
      <c r="C210" s="294"/>
      <c r="D210" s="294"/>
      <c r="E210" s="294"/>
      <c r="F210" s="294"/>
      <c r="G210" s="294"/>
      <c r="H210" s="294"/>
      <c r="I210" s="294"/>
      <c r="J210" s="294"/>
      <c r="K210" s="294"/>
      <c r="L210" s="294"/>
      <c r="M210" s="294"/>
      <c r="N210" s="294"/>
      <c r="O210" s="294"/>
      <c r="P210" s="294"/>
      <c r="Q210" s="294"/>
      <c r="R210" s="294"/>
      <c r="S210" s="294"/>
      <c r="T210" s="294"/>
      <c r="U210" s="294"/>
      <c r="V210" s="294"/>
      <c r="W210" s="294"/>
      <c r="X210" s="294"/>
      <c r="Y210" s="294"/>
      <c r="Z210" s="294"/>
      <c r="AA210" s="294"/>
      <c r="AB210" s="294"/>
      <c r="AC210" s="294"/>
      <c r="AD210" s="294"/>
      <c r="AE210" s="294"/>
      <c r="AF210" s="294"/>
      <c r="AG210" s="294"/>
      <c r="AH210" s="294"/>
      <c r="AI210" s="294"/>
      <c r="AJ210" s="294"/>
      <c r="AK210" s="294"/>
      <c r="AL210" s="294"/>
      <c r="AM210" s="294"/>
      <c r="AN210" s="294"/>
      <c r="AO210" s="294"/>
      <c r="AP210" s="294"/>
      <c r="AQ210" s="294"/>
      <c r="AR210" s="294"/>
      <c r="AS210" s="294"/>
      <c r="AT210" s="294"/>
      <c r="AU210" s="294"/>
      <c r="AV210" s="294"/>
      <c r="AW210" s="294"/>
      <c r="AX210" s="294"/>
      <c r="AY210" s="294"/>
      <c r="AZ210" s="294"/>
      <c r="BA210" s="294"/>
      <c r="BB210" s="294"/>
      <c r="BC210" s="294"/>
      <c r="BD210" s="294"/>
      <c r="BE210" s="294"/>
      <c r="BF210" s="294"/>
      <c r="BG210" s="294"/>
    </row>
    <row r="211" spans="1:59" s="264" customFormat="1" ht="14.1" customHeight="1" x14ac:dyDescent="0.25">
      <c r="A211" s="263"/>
      <c r="C211" s="294"/>
      <c r="D211" s="294"/>
      <c r="E211" s="294"/>
      <c r="F211" s="294"/>
      <c r="G211" s="294"/>
      <c r="H211" s="294"/>
      <c r="I211" s="294"/>
      <c r="J211" s="294"/>
      <c r="K211" s="294"/>
      <c r="L211" s="294"/>
      <c r="M211" s="294"/>
      <c r="N211" s="294"/>
      <c r="O211" s="294"/>
      <c r="P211" s="294"/>
      <c r="Q211" s="294"/>
      <c r="R211" s="294"/>
      <c r="S211" s="294"/>
      <c r="T211" s="294"/>
      <c r="U211" s="294"/>
      <c r="V211" s="294"/>
      <c r="W211" s="294"/>
      <c r="X211" s="294"/>
      <c r="Y211" s="294"/>
      <c r="Z211" s="294"/>
      <c r="AA211" s="294"/>
      <c r="AB211" s="294"/>
      <c r="AC211" s="294"/>
      <c r="AD211" s="294"/>
      <c r="AE211" s="294"/>
      <c r="AF211" s="294"/>
      <c r="AG211" s="294"/>
      <c r="AH211" s="294"/>
      <c r="AI211" s="294"/>
      <c r="AJ211" s="294"/>
      <c r="AK211" s="294"/>
      <c r="AL211" s="294"/>
      <c r="AM211" s="294"/>
      <c r="AN211" s="294"/>
      <c r="AO211" s="294"/>
      <c r="AP211" s="294"/>
      <c r="AQ211" s="294"/>
      <c r="AR211" s="294"/>
      <c r="AS211" s="294"/>
      <c r="AT211" s="294"/>
      <c r="AU211" s="294"/>
      <c r="AV211" s="294"/>
      <c r="AW211" s="294"/>
      <c r="AX211" s="294"/>
      <c r="AY211" s="294"/>
      <c r="AZ211" s="294"/>
      <c r="BA211" s="294"/>
      <c r="BB211" s="294"/>
      <c r="BC211" s="294"/>
      <c r="BD211" s="294"/>
      <c r="BE211" s="294"/>
      <c r="BF211" s="294"/>
      <c r="BG211" s="294"/>
    </row>
    <row r="212" spans="1:59" s="264" customFormat="1" ht="14.1" customHeight="1" x14ac:dyDescent="0.25">
      <c r="A212" s="263"/>
      <c r="C212" s="294"/>
      <c r="D212" s="294"/>
      <c r="E212" s="294"/>
      <c r="F212" s="294"/>
      <c r="G212" s="294"/>
      <c r="H212" s="294"/>
      <c r="I212" s="294"/>
      <c r="J212" s="294"/>
      <c r="K212" s="294"/>
      <c r="L212" s="294"/>
      <c r="M212" s="294"/>
      <c r="N212" s="294"/>
      <c r="O212" s="294"/>
      <c r="P212" s="294"/>
      <c r="Q212" s="294"/>
      <c r="R212" s="294"/>
      <c r="S212" s="294"/>
      <c r="T212" s="294"/>
      <c r="U212" s="294"/>
      <c r="V212" s="294"/>
      <c r="W212" s="294"/>
      <c r="X212" s="294"/>
      <c r="Y212" s="294"/>
      <c r="Z212" s="294"/>
      <c r="AA212" s="294"/>
      <c r="AB212" s="294"/>
      <c r="AC212" s="294"/>
      <c r="AD212" s="294"/>
      <c r="AE212" s="294"/>
      <c r="AF212" s="294"/>
      <c r="AG212" s="294"/>
      <c r="AH212" s="294"/>
      <c r="AI212" s="294"/>
      <c r="AJ212" s="294"/>
      <c r="AK212" s="294"/>
      <c r="AL212" s="294"/>
      <c r="AM212" s="294"/>
      <c r="AN212" s="294"/>
      <c r="AO212" s="294"/>
      <c r="AP212" s="294"/>
      <c r="AQ212" s="294"/>
      <c r="AR212" s="294"/>
      <c r="AS212" s="294"/>
      <c r="AT212" s="294"/>
      <c r="AU212" s="294"/>
      <c r="AV212" s="294"/>
      <c r="AW212" s="294"/>
      <c r="AX212" s="294"/>
      <c r="AY212" s="294"/>
      <c r="AZ212" s="294"/>
      <c r="BA212" s="294"/>
      <c r="BB212" s="294"/>
      <c r="BC212" s="294"/>
      <c r="BD212" s="294"/>
      <c r="BE212" s="294"/>
      <c r="BF212" s="294"/>
      <c r="BG212" s="294"/>
    </row>
    <row r="213" spans="1:59" s="264" customFormat="1" ht="14.1" customHeight="1" x14ac:dyDescent="0.25">
      <c r="A213" s="263"/>
      <c r="C213" s="294"/>
      <c r="D213" s="294"/>
      <c r="E213" s="294"/>
      <c r="F213" s="294"/>
      <c r="G213" s="294"/>
      <c r="H213" s="294"/>
      <c r="I213" s="294"/>
      <c r="J213" s="294"/>
      <c r="K213" s="294"/>
      <c r="L213" s="294"/>
      <c r="M213" s="294"/>
      <c r="N213" s="294"/>
      <c r="O213" s="294"/>
      <c r="P213" s="294"/>
      <c r="Q213" s="294"/>
      <c r="R213" s="294"/>
      <c r="S213" s="294"/>
      <c r="T213" s="294"/>
      <c r="U213" s="294"/>
      <c r="V213" s="294"/>
      <c r="W213" s="294"/>
      <c r="X213" s="294"/>
      <c r="Y213" s="294"/>
      <c r="Z213" s="294"/>
      <c r="AA213" s="294"/>
      <c r="AB213" s="294"/>
      <c r="AC213" s="294"/>
      <c r="AD213" s="294"/>
      <c r="AE213" s="294"/>
      <c r="AF213" s="294"/>
      <c r="AG213" s="294"/>
      <c r="AH213" s="294"/>
      <c r="AI213" s="294"/>
      <c r="AJ213" s="294"/>
      <c r="AK213" s="294"/>
      <c r="AL213" s="294"/>
      <c r="AM213" s="294"/>
      <c r="AN213" s="294"/>
      <c r="AO213" s="294"/>
      <c r="AP213" s="294"/>
      <c r="AQ213" s="294"/>
      <c r="AR213" s="294"/>
      <c r="AS213" s="294"/>
      <c r="AT213" s="294"/>
      <c r="AU213" s="294"/>
      <c r="AV213" s="294"/>
      <c r="AW213" s="294"/>
      <c r="AX213" s="294"/>
      <c r="AY213" s="294"/>
      <c r="AZ213" s="294"/>
      <c r="BA213" s="294"/>
      <c r="BB213" s="294"/>
      <c r="BC213" s="294"/>
      <c r="BD213" s="294"/>
      <c r="BE213" s="294"/>
      <c r="BF213" s="294"/>
      <c r="BG213" s="294"/>
    </row>
    <row r="214" spans="1:59" s="264" customFormat="1" ht="14.1" customHeight="1" x14ac:dyDescent="0.25">
      <c r="A214" s="263"/>
      <c r="C214" s="294"/>
      <c r="D214" s="294"/>
      <c r="E214" s="294"/>
      <c r="F214" s="294"/>
      <c r="G214" s="294"/>
      <c r="H214" s="294"/>
      <c r="I214" s="294"/>
      <c r="J214" s="294"/>
      <c r="K214" s="294"/>
      <c r="L214" s="294"/>
      <c r="M214" s="294"/>
      <c r="N214" s="294"/>
      <c r="O214" s="294"/>
      <c r="P214" s="294"/>
      <c r="Q214" s="294"/>
      <c r="R214" s="294"/>
      <c r="S214" s="294"/>
      <c r="T214" s="294"/>
      <c r="U214" s="294"/>
      <c r="V214" s="294"/>
      <c r="W214" s="294"/>
      <c r="X214" s="294"/>
      <c r="Y214" s="294"/>
      <c r="Z214" s="294"/>
      <c r="AA214" s="294"/>
      <c r="AB214" s="294"/>
      <c r="AC214" s="294"/>
      <c r="AD214" s="294"/>
      <c r="AE214" s="294"/>
      <c r="AF214" s="294"/>
      <c r="AG214" s="294"/>
      <c r="AH214" s="294"/>
      <c r="AI214" s="294"/>
      <c r="AJ214" s="294"/>
      <c r="AK214" s="294"/>
      <c r="AL214" s="294"/>
      <c r="AM214" s="294"/>
      <c r="AN214" s="294"/>
      <c r="AO214" s="294"/>
      <c r="AP214" s="294"/>
      <c r="AQ214" s="294"/>
      <c r="AR214" s="294"/>
      <c r="AS214" s="294"/>
      <c r="AT214" s="294"/>
      <c r="AU214" s="294"/>
      <c r="AV214" s="294"/>
      <c r="AW214" s="294"/>
      <c r="AX214" s="294"/>
      <c r="AY214" s="294"/>
      <c r="AZ214" s="294"/>
      <c r="BA214" s="294"/>
      <c r="BB214" s="294"/>
      <c r="BC214" s="294"/>
      <c r="BD214" s="294"/>
      <c r="BE214" s="294"/>
      <c r="BF214" s="294"/>
      <c r="BG214" s="294"/>
    </row>
    <row r="215" spans="1:59" s="264" customFormat="1" ht="14.1" customHeight="1" x14ac:dyDescent="0.25">
      <c r="A215" s="263"/>
      <c r="C215" s="294"/>
      <c r="D215" s="294"/>
      <c r="E215" s="294"/>
      <c r="F215" s="294"/>
      <c r="G215" s="294"/>
      <c r="H215" s="294"/>
      <c r="I215" s="294"/>
      <c r="J215" s="294"/>
      <c r="K215" s="294"/>
      <c r="L215" s="294"/>
      <c r="M215" s="294"/>
      <c r="N215" s="294"/>
      <c r="O215" s="294"/>
      <c r="P215" s="294"/>
      <c r="Q215" s="294"/>
      <c r="R215" s="294"/>
      <c r="S215" s="294"/>
      <c r="T215" s="294"/>
      <c r="U215" s="294"/>
      <c r="V215" s="294"/>
      <c r="W215" s="294"/>
      <c r="X215" s="294"/>
      <c r="Y215" s="294"/>
      <c r="Z215" s="294"/>
      <c r="AA215" s="294"/>
      <c r="AB215" s="294"/>
      <c r="AC215" s="294"/>
      <c r="AD215" s="294"/>
      <c r="AE215" s="294"/>
      <c r="AF215" s="294"/>
      <c r="AG215" s="294"/>
      <c r="AH215" s="294"/>
      <c r="AI215" s="294"/>
      <c r="AJ215" s="294"/>
      <c r="AK215" s="294"/>
      <c r="AL215" s="294"/>
      <c r="AM215" s="294"/>
      <c r="AN215" s="294"/>
      <c r="AO215" s="294"/>
      <c r="AP215" s="294"/>
      <c r="AQ215" s="294"/>
      <c r="AR215" s="294"/>
      <c r="AS215" s="294"/>
      <c r="AT215" s="294"/>
      <c r="AU215" s="294"/>
      <c r="AV215" s="294"/>
      <c r="AW215" s="294"/>
      <c r="AX215" s="294"/>
      <c r="AY215" s="294"/>
      <c r="AZ215" s="294"/>
      <c r="BA215" s="294"/>
      <c r="BB215" s="294"/>
      <c r="BC215" s="294"/>
      <c r="BD215" s="294"/>
      <c r="BE215" s="294"/>
      <c r="BF215" s="294"/>
      <c r="BG215" s="294"/>
    </row>
    <row r="216" spans="1:59" ht="14.1" customHeight="1" x14ac:dyDescent="0.25">
      <c r="C216" s="298"/>
      <c r="D216" s="298"/>
      <c r="E216" s="298"/>
      <c r="F216" s="298"/>
      <c r="G216" s="298"/>
      <c r="H216" s="298"/>
      <c r="I216" s="298"/>
      <c r="J216" s="298"/>
      <c r="K216" s="298"/>
      <c r="L216" s="298"/>
      <c r="M216" s="298"/>
      <c r="N216" s="298"/>
      <c r="O216" s="298"/>
      <c r="P216" s="298"/>
      <c r="Q216" s="298"/>
      <c r="R216" s="298"/>
      <c r="S216" s="298"/>
      <c r="T216" s="298"/>
      <c r="U216" s="298"/>
      <c r="V216" s="298"/>
      <c r="W216" s="298"/>
      <c r="X216" s="298"/>
      <c r="Y216" s="298"/>
      <c r="Z216" s="298"/>
      <c r="AA216" s="298"/>
      <c r="AB216" s="298"/>
      <c r="AC216" s="298"/>
      <c r="AD216" s="298"/>
      <c r="AE216" s="298"/>
      <c r="AF216" s="298"/>
      <c r="AG216" s="298"/>
      <c r="AH216" s="298"/>
      <c r="AI216" s="298"/>
      <c r="AJ216" s="298"/>
      <c r="AK216" s="298"/>
      <c r="AL216" s="298"/>
      <c r="AM216" s="298"/>
      <c r="AN216" s="298"/>
      <c r="AO216" s="298"/>
      <c r="AP216" s="298"/>
      <c r="AQ216" s="298"/>
      <c r="AR216" s="298"/>
      <c r="AS216" s="298"/>
      <c r="AT216" s="298"/>
      <c r="AU216" s="298"/>
      <c r="AV216" s="298"/>
      <c r="AW216" s="298"/>
      <c r="AX216" s="298"/>
      <c r="AY216" s="298"/>
      <c r="AZ216" s="298"/>
      <c r="BA216" s="298"/>
      <c r="BB216" s="298"/>
      <c r="BC216" s="298"/>
      <c r="BD216" s="298"/>
      <c r="BE216" s="298"/>
      <c r="BF216" s="298"/>
      <c r="BG216" s="298"/>
    </row>
    <row r="217" spans="1:59" ht="14.1" customHeight="1" x14ac:dyDescent="0.25">
      <c r="C217" s="298"/>
      <c r="D217" s="298"/>
      <c r="E217" s="298"/>
      <c r="F217" s="298"/>
      <c r="G217" s="298"/>
      <c r="H217" s="298"/>
      <c r="I217" s="298"/>
      <c r="J217" s="298"/>
      <c r="K217" s="298"/>
      <c r="L217" s="298"/>
      <c r="M217" s="298"/>
      <c r="N217" s="298"/>
      <c r="O217" s="298"/>
      <c r="P217" s="298"/>
      <c r="Q217" s="298"/>
      <c r="R217" s="298"/>
      <c r="S217" s="298"/>
      <c r="T217" s="298"/>
      <c r="U217" s="298"/>
      <c r="V217" s="298"/>
      <c r="W217" s="298"/>
      <c r="X217" s="298"/>
      <c r="Y217" s="298"/>
      <c r="Z217" s="298"/>
      <c r="AA217" s="298"/>
      <c r="AB217" s="298"/>
      <c r="AC217" s="298"/>
      <c r="AD217" s="298"/>
      <c r="AE217" s="298"/>
      <c r="AF217" s="298"/>
      <c r="AG217" s="298"/>
      <c r="AH217" s="298"/>
      <c r="AI217" s="298"/>
      <c r="AJ217" s="298"/>
      <c r="AK217" s="298"/>
      <c r="AL217" s="298"/>
      <c r="AM217" s="298"/>
      <c r="AN217" s="298"/>
      <c r="AO217" s="298"/>
      <c r="AP217" s="298"/>
      <c r="AQ217" s="298"/>
      <c r="AR217" s="298"/>
      <c r="AS217" s="298"/>
      <c r="AT217" s="298"/>
      <c r="AU217" s="298"/>
      <c r="AV217" s="298"/>
      <c r="AW217" s="298"/>
      <c r="AX217" s="298"/>
      <c r="AY217" s="298"/>
      <c r="AZ217" s="298"/>
      <c r="BA217" s="298"/>
      <c r="BB217" s="298"/>
      <c r="BC217" s="298"/>
      <c r="BD217" s="298"/>
      <c r="BE217" s="298"/>
      <c r="BF217" s="298"/>
      <c r="BG217" s="298"/>
    </row>
    <row r="218" spans="1:59" ht="14.1" customHeight="1" x14ac:dyDescent="0.25">
      <c r="C218" s="298"/>
      <c r="D218" s="298"/>
      <c r="E218" s="298"/>
      <c r="F218" s="298"/>
      <c r="G218" s="298"/>
      <c r="H218" s="298"/>
      <c r="I218" s="298"/>
      <c r="J218" s="298"/>
      <c r="K218" s="298"/>
      <c r="L218" s="298"/>
      <c r="M218" s="298"/>
      <c r="N218" s="298"/>
      <c r="O218" s="298"/>
      <c r="P218" s="298"/>
      <c r="Q218" s="298"/>
      <c r="R218" s="298"/>
      <c r="S218" s="298"/>
      <c r="T218" s="298"/>
      <c r="U218" s="298"/>
      <c r="V218" s="298"/>
      <c r="W218" s="298"/>
      <c r="X218" s="298"/>
      <c r="Y218" s="298"/>
      <c r="Z218" s="298"/>
      <c r="AA218" s="298"/>
      <c r="AB218" s="298"/>
      <c r="AC218" s="298"/>
      <c r="AD218" s="298"/>
      <c r="AE218" s="298"/>
      <c r="AF218" s="298"/>
      <c r="AG218" s="298"/>
      <c r="AH218" s="298"/>
      <c r="AI218" s="298"/>
      <c r="AJ218" s="298"/>
      <c r="AK218" s="298"/>
      <c r="AL218" s="298"/>
      <c r="AM218" s="298"/>
      <c r="AN218" s="298"/>
      <c r="AO218" s="298"/>
      <c r="AP218" s="298"/>
      <c r="AQ218" s="298"/>
      <c r="AR218" s="298"/>
      <c r="AS218" s="298"/>
      <c r="AT218" s="298"/>
      <c r="AU218" s="298"/>
      <c r="AV218" s="298"/>
      <c r="AW218" s="298"/>
      <c r="AX218" s="298"/>
      <c r="AY218" s="298"/>
      <c r="AZ218" s="298"/>
      <c r="BA218" s="298"/>
      <c r="BB218" s="298"/>
      <c r="BC218" s="298"/>
      <c r="BD218" s="298"/>
      <c r="BE218" s="298"/>
      <c r="BF218" s="298"/>
      <c r="BG218" s="298"/>
    </row>
    <row r="219" spans="1:59" ht="14.1" customHeight="1" x14ac:dyDescent="0.25">
      <c r="C219" s="298"/>
      <c r="D219" s="298"/>
      <c r="E219" s="298"/>
      <c r="F219" s="298"/>
      <c r="G219" s="298"/>
      <c r="H219" s="298"/>
      <c r="I219" s="298"/>
      <c r="J219" s="298"/>
      <c r="K219" s="298"/>
      <c r="L219" s="298"/>
      <c r="M219" s="298"/>
      <c r="N219" s="298"/>
      <c r="O219" s="298"/>
      <c r="P219" s="298"/>
      <c r="Q219" s="298"/>
      <c r="R219" s="298"/>
      <c r="S219" s="298"/>
      <c r="T219" s="298"/>
      <c r="U219" s="298"/>
      <c r="V219" s="298"/>
      <c r="W219" s="298"/>
      <c r="X219" s="298"/>
      <c r="Y219" s="298"/>
      <c r="Z219" s="298"/>
      <c r="AA219" s="298"/>
      <c r="AB219" s="298"/>
      <c r="AC219" s="298"/>
      <c r="AD219" s="298"/>
      <c r="AE219" s="298"/>
      <c r="AF219" s="298"/>
      <c r="AG219" s="298"/>
      <c r="AH219" s="298"/>
      <c r="AI219" s="298"/>
      <c r="AJ219" s="298"/>
      <c r="AK219" s="298"/>
      <c r="AL219" s="298"/>
      <c r="AM219" s="298"/>
      <c r="AN219" s="298"/>
      <c r="AO219" s="298"/>
      <c r="AP219" s="298"/>
      <c r="AQ219" s="298"/>
      <c r="AR219" s="298"/>
      <c r="AS219" s="298"/>
      <c r="AT219" s="298"/>
      <c r="AU219" s="298"/>
      <c r="AV219" s="298"/>
      <c r="AW219" s="298"/>
      <c r="AX219" s="298"/>
      <c r="AY219" s="298"/>
      <c r="AZ219" s="298"/>
      <c r="BA219" s="298"/>
      <c r="BB219" s="298"/>
      <c r="BC219" s="298"/>
      <c r="BD219" s="298"/>
      <c r="BE219" s="298"/>
      <c r="BF219" s="298"/>
      <c r="BG219" s="298"/>
    </row>
    <row r="220" spans="1:59" ht="14.1" customHeight="1" x14ac:dyDescent="0.25">
      <c r="C220" s="298"/>
      <c r="D220" s="298"/>
      <c r="E220" s="298"/>
      <c r="F220" s="298"/>
      <c r="G220" s="298"/>
      <c r="H220" s="298"/>
      <c r="I220" s="298"/>
      <c r="J220" s="298"/>
      <c r="K220" s="298"/>
      <c r="L220" s="298"/>
      <c r="M220" s="298"/>
      <c r="N220" s="298"/>
      <c r="O220" s="298"/>
      <c r="P220" s="298"/>
      <c r="Q220" s="298"/>
      <c r="R220" s="298"/>
      <c r="S220" s="298"/>
      <c r="T220" s="298"/>
      <c r="U220" s="298"/>
      <c r="V220" s="298"/>
      <c r="W220" s="298"/>
      <c r="X220" s="298"/>
      <c r="Y220" s="298"/>
      <c r="Z220" s="298"/>
      <c r="AA220" s="298"/>
      <c r="AB220" s="298"/>
      <c r="AC220" s="298"/>
      <c r="AD220" s="298"/>
      <c r="AE220" s="298"/>
      <c r="AF220" s="298"/>
      <c r="AG220" s="298"/>
      <c r="AH220" s="298"/>
      <c r="AI220" s="298"/>
      <c r="AJ220" s="298"/>
      <c r="AK220" s="298"/>
      <c r="AL220" s="298"/>
      <c r="AM220" s="298"/>
      <c r="AN220" s="298"/>
      <c r="AO220" s="298"/>
      <c r="AP220" s="298"/>
      <c r="AQ220" s="298"/>
      <c r="AR220" s="298"/>
      <c r="AS220" s="298"/>
      <c r="AT220" s="298"/>
      <c r="AU220" s="298"/>
      <c r="AV220" s="298"/>
      <c r="AW220" s="298"/>
      <c r="AX220" s="298"/>
      <c r="AY220" s="298"/>
      <c r="AZ220" s="298"/>
      <c r="BA220" s="298"/>
      <c r="BB220" s="298"/>
      <c r="BC220" s="298"/>
      <c r="BD220" s="298"/>
      <c r="BE220" s="298"/>
      <c r="BF220" s="298"/>
      <c r="BG220" s="298"/>
    </row>
    <row r="221" spans="1:59" ht="14.1" customHeight="1" x14ac:dyDescent="0.25">
      <c r="C221" s="298"/>
      <c r="D221" s="298"/>
      <c r="E221" s="298"/>
      <c r="F221" s="298"/>
      <c r="G221" s="298"/>
      <c r="H221" s="298"/>
      <c r="I221" s="298"/>
      <c r="J221" s="298"/>
      <c r="K221" s="298"/>
      <c r="L221" s="298"/>
      <c r="M221" s="298"/>
      <c r="N221" s="298"/>
      <c r="O221" s="298"/>
      <c r="P221" s="298"/>
      <c r="Q221" s="298"/>
      <c r="R221" s="298"/>
      <c r="S221" s="298"/>
      <c r="T221" s="298"/>
      <c r="U221" s="298"/>
      <c r="V221" s="298"/>
      <c r="W221" s="298"/>
      <c r="X221" s="298"/>
      <c r="Y221" s="298"/>
      <c r="Z221" s="298"/>
      <c r="AA221" s="298"/>
      <c r="AB221" s="298"/>
      <c r="AC221" s="298"/>
      <c r="AD221" s="298"/>
      <c r="AE221" s="298"/>
      <c r="AF221" s="298"/>
      <c r="AG221" s="298"/>
      <c r="AH221" s="298"/>
      <c r="AI221" s="298"/>
      <c r="AJ221" s="298"/>
      <c r="AK221" s="298"/>
      <c r="AL221" s="298"/>
      <c r="AM221" s="298"/>
      <c r="AN221" s="298"/>
      <c r="AO221" s="298"/>
      <c r="AP221" s="298"/>
      <c r="AQ221" s="298"/>
      <c r="AR221" s="298"/>
      <c r="AS221" s="298"/>
      <c r="AT221" s="298"/>
      <c r="AU221" s="298"/>
      <c r="AV221" s="298"/>
      <c r="AW221" s="298"/>
      <c r="AX221" s="298"/>
      <c r="AY221" s="298"/>
      <c r="AZ221" s="298"/>
      <c r="BA221" s="298"/>
      <c r="BB221" s="298"/>
      <c r="BC221" s="298"/>
      <c r="BD221" s="298"/>
      <c r="BE221" s="298"/>
      <c r="BF221" s="298"/>
      <c r="BG221" s="298"/>
    </row>
    <row r="222" spans="1:59" ht="14.1" customHeight="1" x14ac:dyDescent="0.25">
      <c r="C222" s="298"/>
      <c r="D222" s="298"/>
      <c r="E222" s="298"/>
      <c r="F222" s="298"/>
      <c r="G222" s="298"/>
      <c r="H222" s="298"/>
      <c r="I222" s="298"/>
      <c r="J222" s="298"/>
      <c r="K222" s="298"/>
      <c r="L222" s="298"/>
      <c r="M222" s="298"/>
      <c r="N222" s="298"/>
      <c r="O222" s="298"/>
      <c r="P222" s="298"/>
      <c r="Q222" s="298"/>
      <c r="R222" s="298"/>
      <c r="S222" s="298"/>
      <c r="T222" s="298"/>
      <c r="U222" s="298"/>
      <c r="V222" s="298"/>
      <c r="W222" s="298"/>
      <c r="X222" s="298"/>
      <c r="Y222" s="298"/>
      <c r="Z222" s="298"/>
      <c r="AA222" s="298"/>
      <c r="AB222" s="298"/>
      <c r="AC222" s="298"/>
      <c r="AD222" s="298"/>
      <c r="AE222" s="298"/>
      <c r="AF222" s="298"/>
      <c r="AG222" s="298"/>
      <c r="AH222" s="298"/>
      <c r="AI222" s="298"/>
      <c r="AJ222" s="298"/>
      <c r="AK222" s="298"/>
      <c r="AL222" s="298"/>
      <c r="AM222" s="298"/>
      <c r="AN222" s="298"/>
      <c r="AO222" s="298"/>
      <c r="AP222" s="298"/>
      <c r="AQ222" s="298"/>
      <c r="AR222" s="298"/>
      <c r="AS222" s="298"/>
      <c r="AT222" s="298"/>
      <c r="AU222" s="298"/>
      <c r="AV222" s="298"/>
      <c r="AW222" s="298"/>
      <c r="AX222" s="298"/>
      <c r="AY222" s="298"/>
      <c r="AZ222" s="298"/>
      <c r="BA222" s="298"/>
      <c r="BB222" s="298"/>
      <c r="BC222" s="298"/>
      <c r="BD222" s="298"/>
      <c r="BE222" s="298"/>
      <c r="BF222" s="298"/>
      <c r="BG222" s="298"/>
    </row>
    <row r="223" spans="1:59" ht="14.1" customHeight="1" x14ac:dyDescent="0.25">
      <c r="C223" s="298"/>
      <c r="D223" s="298"/>
      <c r="E223" s="298"/>
      <c r="F223" s="298"/>
      <c r="G223" s="298"/>
      <c r="H223" s="298"/>
      <c r="I223" s="298"/>
      <c r="J223" s="298"/>
      <c r="K223" s="298"/>
      <c r="L223" s="298"/>
      <c r="M223" s="298"/>
      <c r="N223" s="298"/>
      <c r="O223" s="298"/>
      <c r="P223" s="298"/>
      <c r="Q223" s="298"/>
      <c r="R223" s="298"/>
      <c r="S223" s="298"/>
      <c r="T223" s="298"/>
      <c r="U223" s="298"/>
      <c r="V223" s="298"/>
      <c r="W223" s="298"/>
      <c r="X223" s="298"/>
      <c r="Y223" s="298"/>
      <c r="Z223" s="298"/>
      <c r="AA223" s="298"/>
      <c r="AB223" s="298"/>
      <c r="AC223" s="298"/>
      <c r="AD223" s="298"/>
      <c r="AE223" s="298"/>
      <c r="AF223" s="298"/>
      <c r="AG223" s="298"/>
      <c r="AH223" s="298"/>
      <c r="AI223" s="298"/>
      <c r="AJ223" s="298"/>
      <c r="AK223" s="298"/>
      <c r="AL223" s="298"/>
      <c r="AM223" s="298"/>
      <c r="AN223" s="298"/>
      <c r="AO223" s="298"/>
      <c r="AP223" s="298"/>
      <c r="AQ223" s="298"/>
      <c r="AR223" s="298"/>
      <c r="AS223" s="298"/>
      <c r="AT223" s="298"/>
      <c r="AU223" s="298"/>
      <c r="AV223" s="298"/>
      <c r="AW223" s="298"/>
      <c r="AX223" s="298"/>
      <c r="AY223" s="298"/>
      <c r="AZ223" s="298"/>
      <c r="BA223" s="298"/>
      <c r="BB223" s="298"/>
      <c r="BC223" s="298"/>
      <c r="BD223" s="298"/>
      <c r="BE223" s="298"/>
      <c r="BF223" s="298"/>
      <c r="BG223" s="298"/>
    </row>
    <row r="224" spans="1:59" ht="14.1" customHeight="1" x14ac:dyDescent="0.25">
      <c r="C224" s="298"/>
      <c r="D224" s="298"/>
      <c r="E224" s="298"/>
      <c r="F224" s="298"/>
      <c r="G224" s="298"/>
      <c r="H224" s="298"/>
      <c r="I224" s="298"/>
      <c r="J224" s="298"/>
      <c r="K224" s="298"/>
      <c r="L224" s="298"/>
      <c r="M224" s="298"/>
      <c r="N224" s="298"/>
      <c r="O224" s="298"/>
      <c r="P224" s="298"/>
      <c r="Q224" s="298"/>
      <c r="R224" s="298"/>
      <c r="S224" s="298"/>
      <c r="T224" s="298"/>
      <c r="U224" s="298"/>
      <c r="V224" s="298"/>
      <c r="W224" s="298"/>
      <c r="X224" s="298"/>
      <c r="Y224" s="298"/>
      <c r="Z224" s="298"/>
      <c r="AA224" s="298"/>
      <c r="AB224" s="298"/>
      <c r="AC224" s="298"/>
      <c r="AD224" s="298"/>
      <c r="AE224" s="298"/>
      <c r="AF224" s="298"/>
      <c r="AG224" s="298"/>
      <c r="AH224" s="298"/>
      <c r="AI224" s="298"/>
      <c r="AJ224" s="298"/>
      <c r="AK224" s="298"/>
      <c r="AL224" s="298"/>
      <c r="AM224" s="298"/>
      <c r="AN224" s="298"/>
      <c r="AO224" s="298"/>
      <c r="AP224" s="298"/>
      <c r="AQ224" s="298"/>
      <c r="AR224" s="298"/>
      <c r="AS224" s="298"/>
      <c r="AT224" s="298"/>
      <c r="AU224" s="298"/>
      <c r="AV224" s="298"/>
      <c r="AW224" s="298"/>
      <c r="AX224" s="298"/>
      <c r="AY224" s="298"/>
      <c r="AZ224" s="298"/>
      <c r="BA224" s="298"/>
      <c r="BB224" s="298"/>
      <c r="BC224" s="298"/>
      <c r="BD224" s="298"/>
      <c r="BE224" s="298"/>
      <c r="BF224" s="298"/>
      <c r="BG224" s="298"/>
    </row>
    <row r="225" spans="3:59" ht="14.1" customHeight="1" x14ac:dyDescent="0.25">
      <c r="C225" s="298"/>
      <c r="D225" s="298"/>
      <c r="E225" s="298"/>
      <c r="F225" s="298"/>
      <c r="G225" s="298"/>
      <c r="H225" s="298"/>
      <c r="I225" s="298"/>
      <c r="J225" s="298"/>
      <c r="K225" s="298"/>
      <c r="L225" s="298"/>
      <c r="M225" s="298"/>
      <c r="N225" s="298"/>
      <c r="O225" s="298"/>
      <c r="P225" s="298"/>
      <c r="Q225" s="298"/>
      <c r="R225" s="298"/>
      <c r="S225" s="298"/>
      <c r="T225" s="298"/>
      <c r="U225" s="298"/>
      <c r="V225" s="298"/>
      <c r="W225" s="298"/>
      <c r="X225" s="298"/>
      <c r="Y225" s="298"/>
      <c r="Z225" s="298"/>
      <c r="AA225" s="298"/>
      <c r="AB225" s="298"/>
      <c r="AC225" s="298"/>
      <c r="AD225" s="298"/>
      <c r="AE225" s="298"/>
      <c r="AF225" s="298"/>
      <c r="AG225" s="298"/>
      <c r="AH225" s="298"/>
      <c r="AI225" s="298"/>
      <c r="AJ225" s="298"/>
      <c r="AK225" s="298"/>
      <c r="AL225" s="298"/>
      <c r="AM225" s="298"/>
      <c r="AN225" s="298"/>
      <c r="AO225" s="298"/>
      <c r="AP225" s="298"/>
      <c r="AQ225" s="298"/>
      <c r="AR225" s="298"/>
      <c r="AS225" s="298"/>
      <c r="AT225" s="298"/>
      <c r="AU225" s="298"/>
      <c r="AV225" s="298"/>
      <c r="AW225" s="298"/>
      <c r="AX225" s="298"/>
      <c r="AY225" s="298"/>
      <c r="AZ225" s="298"/>
      <c r="BA225" s="298"/>
      <c r="BB225" s="298"/>
      <c r="BC225" s="298"/>
      <c r="BD225" s="298"/>
      <c r="BE225" s="298"/>
      <c r="BF225" s="298"/>
      <c r="BG225" s="298"/>
    </row>
    <row r="226" spans="3:59" ht="14.1" customHeight="1" x14ac:dyDescent="0.25">
      <c r="C226" s="298"/>
      <c r="D226" s="298"/>
      <c r="E226" s="298"/>
      <c r="F226" s="298"/>
      <c r="G226" s="298"/>
      <c r="H226" s="298"/>
      <c r="I226" s="298"/>
      <c r="J226" s="298"/>
      <c r="K226" s="298"/>
      <c r="L226" s="298"/>
      <c r="M226" s="298"/>
      <c r="N226" s="298"/>
      <c r="O226" s="298"/>
      <c r="P226" s="298"/>
      <c r="Q226" s="298"/>
      <c r="R226" s="298"/>
      <c r="S226" s="298"/>
      <c r="T226" s="298"/>
      <c r="U226" s="298"/>
      <c r="V226" s="298"/>
      <c r="W226" s="298"/>
      <c r="X226" s="298"/>
      <c r="Y226" s="298"/>
      <c r="Z226" s="298"/>
      <c r="AA226" s="298"/>
      <c r="AB226" s="298"/>
      <c r="AC226" s="298"/>
      <c r="AD226" s="298"/>
      <c r="AE226" s="298"/>
      <c r="AF226" s="298"/>
      <c r="AG226" s="298"/>
      <c r="AH226" s="298"/>
      <c r="AI226" s="298"/>
      <c r="AJ226" s="298"/>
      <c r="AK226" s="298"/>
      <c r="AL226" s="298"/>
      <c r="AM226" s="298"/>
      <c r="AN226" s="298"/>
      <c r="AO226" s="298"/>
      <c r="AP226" s="298"/>
      <c r="AQ226" s="298"/>
      <c r="AR226" s="298"/>
      <c r="AS226" s="298"/>
      <c r="AT226" s="298"/>
      <c r="AU226" s="298"/>
      <c r="AV226" s="298"/>
      <c r="AW226" s="298"/>
      <c r="AX226" s="298"/>
      <c r="AY226" s="298"/>
      <c r="AZ226" s="298"/>
      <c r="BA226" s="298"/>
      <c r="BB226" s="298"/>
      <c r="BC226" s="298"/>
      <c r="BD226" s="298"/>
      <c r="BE226" s="298"/>
      <c r="BF226" s="298"/>
      <c r="BG226" s="298"/>
    </row>
    <row r="227" spans="3:59" ht="14.1" customHeight="1" x14ac:dyDescent="0.25">
      <c r="C227" s="298"/>
      <c r="D227" s="298"/>
      <c r="E227" s="298"/>
      <c r="F227" s="298"/>
      <c r="G227" s="298"/>
      <c r="H227" s="298"/>
      <c r="I227" s="298"/>
      <c r="J227" s="298"/>
      <c r="K227" s="298"/>
      <c r="L227" s="298"/>
      <c r="M227" s="298"/>
      <c r="N227" s="298"/>
      <c r="O227" s="298"/>
      <c r="P227" s="298"/>
      <c r="Q227" s="298"/>
      <c r="R227" s="298"/>
      <c r="S227" s="298"/>
      <c r="T227" s="298"/>
      <c r="U227" s="298"/>
      <c r="V227" s="298"/>
      <c r="W227" s="298"/>
      <c r="X227" s="298"/>
      <c r="Y227" s="298"/>
      <c r="Z227" s="298"/>
      <c r="AA227" s="298"/>
      <c r="AB227" s="298"/>
      <c r="AC227" s="298"/>
      <c r="AD227" s="298"/>
      <c r="AE227" s="298"/>
      <c r="AF227" s="298"/>
      <c r="AG227" s="298"/>
      <c r="AH227" s="298"/>
      <c r="AI227" s="298"/>
      <c r="AJ227" s="298"/>
      <c r="AK227" s="298"/>
      <c r="AL227" s="298"/>
      <c r="AM227" s="298"/>
      <c r="AN227" s="298"/>
      <c r="AO227" s="298"/>
      <c r="AP227" s="298"/>
      <c r="AQ227" s="298"/>
      <c r="AR227" s="298"/>
      <c r="AS227" s="298"/>
      <c r="AT227" s="298"/>
      <c r="AU227" s="298"/>
      <c r="AV227" s="298"/>
      <c r="AW227" s="298"/>
      <c r="AX227" s="298"/>
      <c r="AY227" s="298"/>
      <c r="AZ227" s="298"/>
      <c r="BA227" s="298"/>
      <c r="BB227" s="298"/>
      <c r="BC227" s="298"/>
      <c r="BD227" s="298"/>
      <c r="BE227" s="298"/>
      <c r="BF227" s="298"/>
      <c r="BG227" s="298"/>
    </row>
    <row r="228" spans="3:59" ht="14.1" customHeight="1" x14ac:dyDescent="0.25">
      <c r="C228" s="298"/>
      <c r="D228" s="298"/>
      <c r="E228" s="298"/>
      <c r="F228" s="298"/>
      <c r="G228" s="298"/>
      <c r="H228" s="298"/>
      <c r="I228" s="298"/>
      <c r="J228" s="298"/>
      <c r="K228" s="298"/>
      <c r="L228" s="298"/>
      <c r="M228" s="298"/>
      <c r="N228" s="298"/>
      <c r="O228" s="298"/>
      <c r="P228" s="298"/>
      <c r="Q228" s="298"/>
      <c r="R228" s="298"/>
      <c r="S228" s="298"/>
      <c r="T228" s="298"/>
      <c r="U228" s="298"/>
      <c r="V228" s="298"/>
      <c r="W228" s="298"/>
      <c r="X228" s="298"/>
      <c r="Y228" s="298"/>
      <c r="Z228" s="298"/>
      <c r="AA228" s="298"/>
      <c r="AB228" s="298"/>
      <c r="AC228" s="298"/>
      <c r="AD228" s="298"/>
      <c r="AE228" s="298"/>
      <c r="AF228" s="298"/>
      <c r="AG228" s="298"/>
      <c r="AH228" s="298"/>
      <c r="AI228" s="298"/>
      <c r="AJ228" s="298"/>
      <c r="AK228" s="298"/>
      <c r="AL228" s="298"/>
      <c r="AM228" s="298"/>
      <c r="AN228" s="298"/>
      <c r="AO228" s="298"/>
      <c r="AP228" s="298"/>
      <c r="AQ228" s="298"/>
      <c r="AR228" s="298"/>
      <c r="AS228" s="298"/>
      <c r="AT228" s="298"/>
      <c r="AU228" s="298"/>
      <c r="AV228" s="298"/>
      <c r="AW228" s="298"/>
      <c r="AX228" s="298"/>
      <c r="AY228" s="298"/>
      <c r="AZ228" s="298"/>
      <c r="BA228" s="298"/>
      <c r="BB228" s="298"/>
      <c r="BC228" s="298"/>
      <c r="BD228" s="298"/>
      <c r="BE228" s="298"/>
      <c r="BF228" s="298"/>
      <c r="BG228" s="298"/>
    </row>
    <row r="229" spans="3:59" ht="14.1" customHeight="1" x14ac:dyDescent="0.25">
      <c r="C229" s="298"/>
      <c r="D229" s="298"/>
      <c r="E229" s="298"/>
      <c r="F229" s="298"/>
      <c r="G229" s="298"/>
      <c r="H229" s="298"/>
      <c r="I229" s="298"/>
      <c r="J229" s="298"/>
      <c r="K229" s="298"/>
      <c r="L229" s="298"/>
      <c r="M229" s="298"/>
      <c r="N229" s="298"/>
      <c r="O229" s="298"/>
      <c r="P229" s="298"/>
      <c r="Q229" s="298"/>
      <c r="R229" s="298"/>
      <c r="S229" s="298"/>
      <c r="T229" s="298"/>
      <c r="U229" s="298"/>
      <c r="V229" s="298"/>
      <c r="W229" s="298"/>
      <c r="X229" s="298"/>
      <c r="Y229" s="298"/>
      <c r="Z229" s="298"/>
      <c r="AA229" s="298"/>
      <c r="AB229" s="298"/>
      <c r="AC229" s="298"/>
      <c r="AD229" s="298"/>
      <c r="AE229" s="298"/>
      <c r="AF229" s="298"/>
      <c r="AG229" s="298"/>
      <c r="AH229" s="298"/>
      <c r="AI229" s="298"/>
      <c r="AJ229" s="298"/>
      <c r="AK229" s="298"/>
      <c r="AL229" s="298"/>
      <c r="AM229" s="298"/>
      <c r="AN229" s="298"/>
      <c r="AO229" s="298"/>
      <c r="AP229" s="298"/>
      <c r="AQ229" s="298"/>
      <c r="AR229" s="298"/>
      <c r="AS229" s="298"/>
      <c r="AT229" s="298"/>
      <c r="AU229" s="298"/>
      <c r="AV229" s="298"/>
      <c r="AW229" s="298"/>
      <c r="AX229" s="298"/>
      <c r="AY229" s="298"/>
      <c r="AZ229" s="298"/>
      <c r="BA229" s="298"/>
      <c r="BB229" s="298"/>
      <c r="BC229" s="298"/>
      <c r="BD229" s="298"/>
      <c r="BE229" s="298"/>
      <c r="BF229" s="298"/>
      <c r="BG229" s="298"/>
    </row>
    <row r="230" spans="3:59" ht="14.1" customHeight="1" x14ac:dyDescent="0.25">
      <c r="C230" s="298"/>
      <c r="D230" s="298"/>
      <c r="E230" s="298"/>
      <c r="F230" s="298"/>
      <c r="G230" s="298"/>
      <c r="H230" s="298"/>
      <c r="I230" s="298"/>
      <c r="J230" s="298"/>
      <c r="K230" s="298"/>
      <c r="L230" s="298"/>
      <c r="M230" s="298"/>
      <c r="N230" s="298"/>
      <c r="O230" s="298"/>
      <c r="P230" s="298"/>
      <c r="Q230" s="298"/>
      <c r="R230" s="298"/>
      <c r="S230" s="298"/>
      <c r="T230" s="298"/>
      <c r="U230" s="298"/>
      <c r="V230" s="298"/>
      <c r="W230" s="298"/>
      <c r="X230" s="298"/>
      <c r="Y230" s="298"/>
      <c r="Z230" s="298"/>
      <c r="AA230" s="298"/>
      <c r="AB230" s="298"/>
      <c r="AC230" s="298"/>
      <c r="AD230" s="298"/>
      <c r="AE230" s="298"/>
      <c r="AF230" s="298"/>
      <c r="AG230" s="298"/>
      <c r="AH230" s="298"/>
      <c r="AI230" s="298"/>
      <c r="AJ230" s="298"/>
      <c r="AK230" s="298"/>
      <c r="AL230" s="298"/>
      <c r="AM230" s="298"/>
      <c r="AN230" s="298"/>
      <c r="AO230" s="298"/>
      <c r="AP230" s="298"/>
      <c r="AQ230" s="298"/>
      <c r="AR230" s="298"/>
      <c r="AS230" s="298"/>
      <c r="AT230" s="298"/>
      <c r="AU230" s="298"/>
      <c r="AV230" s="298"/>
      <c r="AW230" s="298"/>
      <c r="AX230" s="298"/>
      <c r="AY230" s="298"/>
      <c r="AZ230" s="298"/>
      <c r="BA230" s="298"/>
      <c r="BB230" s="298"/>
      <c r="BC230" s="298"/>
      <c r="BD230" s="298"/>
      <c r="BE230" s="298"/>
      <c r="BF230" s="298"/>
      <c r="BG230" s="298"/>
    </row>
    <row r="231" spans="3:59" ht="14.1" customHeight="1" x14ac:dyDescent="0.25">
      <c r="C231" s="298"/>
      <c r="D231" s="298"/>
      <c r="E231" s="298"/>
      <c r="F231" s="298"/>
      <c r="G231" s="298"/>
      <c r="H231" s="298"/>
      <c r="I231" s="298"/>
      <c r="J231" s="298"/>
      <c r="K231" s="298"/>
      <c r="L231" s="298"/>
      <c r="M231" s="298"/>
      <c r="N231" s="298"/>
      <c r="O231" s="298"/>
      <c r="P231" s="298"/>
      <c r="Q231" s="298"/>
      <c r="R231" s="298"/>
      <c r="S231" s="298"/>
      <c r="T231" s="298"/>
      <c r="U231" s="298"/>
      <c r="V231" s="298"/>
      <c r="W231" s="298"/>
      <c r="X231" s="298"/>
      <c r="Y231" s="298"/>
      <c r="Z231" s="298"/>
      <c r="AA231" s="298"/>
      <c r="AB231" s="298"/>
      <c r="AC231" s="298"/>
      <c r="AD231" s="298"/>
      <c r="AE231" s="298"/>
      <c r="AF231" s="298"/>
      <c r="AG231" s="298"/>
      <c r="AH231" s="298"/>
      <c r="AI231" s="298"/>
      <c r="AJ231" s="298"/>
      <c r="AK231" s="298"/>
      <c r="AL231" s="298"/>
      <c r="AM231" s="298"/>
      <c r="AN231" s="298"/>
      <c r="AO231" s="298"/>
      <c r="AP231" s="298"/>
      <c r="AQ231" s="298"/>
      <c r="AR231" s="298"/>
      <c r="AS231" s="298"/>
      <c r="AT231" s="298"/>
      <c r="AU231" s="298"/>
      <c r="AV231" s="298"/>
      <c r="AW231" s="298"/>
      <c r="AX231" s="298"/>
      <c r="AY231" s="298"/>
      <c r="AZ231" s="298"/>
      <c r="BA231" s="298"/>
      <c r="BB231" s="298"/>
      <c r="BC231" s="298"/>
      <c r="BD231" s="298"/>
      <c r="BE231" s="298"/>
      <c r="BF231" s="298"/>
      <c r="BG231" s="298"/>
    </row>
    <row r="232" spans="3:59" ht="14.1" customHeight="1" x14ac:dyDescent="0.25">
      <c r="C232" s="298"/>
      <c r="D232" s="298"/>
      <c r="E232" s="298"/>
      <c r="F232" s="298"/>
      <c r="G232" s="298"/>
      <c r="H232" s="298"/>
      <c r="I232" s="298"/>
      <c r="J232" s="298"/>
      <c r="K232" s="298"/>
      <c r="L232" s="298"/>
      <c r="M232" s="298"/>
      <c r="N232" s="298"/>
      <c r="O232" s="298"/>
      <c r="P232" s="298"/>
      <c r="Q232" s="298"/>
      <c r="R232" s="298"/>
      <c r="S232" s="298"/>
      <c r="T232" s="298"/>
      <c r="U232" s="298"/>
      <c r="V232" s="298"/>
      <c r="W232" s="298"/>
      <c r="X232" s="298"/>
      <c r="Y232" s="298"/>
      <c r="Z232" s="298"/>
      <c r="AA232" s="298"/>
      <c r="AB232" s="298"/>
      <c r="AC232" s="298"/>
      <c r="AD232" s="298"/>
      <c r="AE232" s="298"/>
      <c r="AF232" s="298"/>
      <c r="AG232" s="298"/>
      <c r="AH232" s="298"/>
      <c r="AI232" s="298"/>
      <c r="AJ232" s="298"/>
      <c r="AK232" s="298"/>
      <c r="AL232" s="298"/>
      <c r="AM232" s="298"/>
      <c r="AN232" s="298"/>
      <c r="AO232" s="298"/>
      <c r="AP232" s="298"/>
      <c r="AQ232" s="298"/>
      <c r="AR232" s="298"/>
      <c r="AS232" s="298"/>
      <c r="AT232" s="298"/>
      <c r="AU232" s="298"/>
      <c r="AV232" s="298"/>
      <c r="AW232" s="298"/>
      <c r="AX232" s="298"/>
      <c r="AY232" s="298"/>
      <c r="AZ232" s="298"/>
      <c r="BA232" s="298"/>
      <c r="BB232" s="298"/>
      <c r="BC232" s="298"/>
      <c r="BD232" s="298"/>
      <c r="BE232" s="298"/>
      <c r="BF232" s="298"/>
      <c r="BG232" s="298"/>
    </row>
    <row r="233" spans="3:59" ht="14.1" customHeight="1" x14ac:dyDescent="0.25">
      <c r="C233" s="298"/>
      <c r="D233" s="298"/>
      <c r="E233" s="298"/>
      <c r="F233" s="298"/>
      <c r="G233" s="298"/>
      <c r="H233" s="298"/>
      <c r="I233" s="298"/>
      <c r="J233" s="298"/>
      <c r="K233" s="298"/>
      <c r="L233" s="298"/>
      <c r="M233" s="298"/>
      <c r="N233" s="298"/>
      <c r="O233" s="298"/>
      <c r="P233" s="298"/>
      <c r="Q233" s="298"/>
      <c r="R233" s="298"/>
      <c r="S233" s="298"/>
      <c r="T233" s="298"/>
      <c r="U233" s="298"/>
      <c r="V233" s="298"/>
      <c r="W233" s="298"/>
      <c r="X233" s="298"/>
      <c r="Y233" s="298"/>
      <c r="Z233" s="298"/>
      <c r="AA233" s="298"/>
      <c r="AB233" s="298"/>
      <c r="AC233" s="298"/>
      <c r="AD233" s="298"/>
      <c r="AE233" s="298"/>
      <c r="AF233" s="298"/>
      <c r="AG233" s="298"/>
      <c r="AH233" s="298"/>
      <c r="AI233" s="298"/>
      <c r="AJ233" s="298"/>
      <c r="AK233" s="298"/>
      <c r="AL233" s="298"/>
      <c r="AM233" s="298"/>
      <c r="AN233" s="298"/>
      <c r="AO233" s="298"/>
      <c r="AP233" s="298"/>
      <c r="AQ233" s="298"/>
      <c r="AR233" s="298"/>
      <c r="AS233" s="298"/>
      <c r="AT233" s="298"/>
      <c r="AU233" s="298"/>
      <c r="AV233" s="298"/>
      <c r="AW233" s="298"/>
      <c r="AX233" s="298"/>
      <c r="AY233" s="298"/>
      <c r="AZ233" s="298"/>
      <c r="BA233" s="298"/>
      <c r="BB233" s="298"/>
      <c r="BC233" s="298"/>
      <c r="BD233" s="298"/>
      <c r="BE233" s="298"/>
      <c r="BF233" s="298"/>
      <c r="BG233" s="298"/>
    </row>
  </sheetData>
  <mergeCells count="9">
    <mergeCell ref="O4:P4"/>
    <mergeCell ref="Q4:R4"/>
    <mergeCell ref="S4:T4"/>
    <mergeCell ref="C4:D4"/>
    <mergeCell ref="E4:F4"/>
    <mergeCell ref="G4:H4"/>
    <mergeCell ref="I4:J4"/>
    <mergeCell ref="K4:L4"/>
    <mergeCell ref="M4:N4"/>
  </mergeCells>
  <pageMargins left="0.39370078740157483" right="0.19685039370078741" top="0.19685039370078741" bottom="0.19685039370078741" header="0.51181102362204722" footer="0.51181102362204722"/>
  <pageSetup paperSize="9" orientation="landscape" horizontalDpi="4294967292" verticalDpi="1200" r:id="rId1"/>
  <headerFooter alignWithMargins="0"/>
  <rowBreaks count="1" manualBreakCount="1">
    <brk id="176" max="16383" man="1"/>
  </rowBreaks>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9"/>
  <sheetViews>
    <sheetView showGridLines="0" workbookViewId="0">
      <selection activeCell="B32" sqref="B32"/>
    </sheetView>
  </sheetViews>
  <sheetFormatPr baseColWidth="10" defaultColWidth="10.33203125" defaultRowHeight="13.8" x14ac:dyDescent="0.3"/>
  <cols>
    <col min="1" max="1" width="33.88671875" style="198" customWidth="1"/>
    <col min="2" max="5" width="15.6640625" style="220" customWidth="1"/>
    <col min="6" max="6" width="11" style="198" customWidth="1"/>
    <col min="7" max="7" width="10.33203125" style="198" customWidth="1"/>
    <col min="8" max="8" width="10.21875" style="198" customWidth="1"/>
    <col min="9" max="9" width="10.88671875" style="198" customWidth="1"/>
    <col min="10" max="10" width="11" style="198" customWidth="1"/>
    <col min="11" max="11" width="10.33203125" style="198"/>
    <col min="12" max="12" width="11.44140625" style="199" bestFit="1" customWidth="1"/>
    <col min="13" max="16384" width="10.33203125" style="198"/>
  </cols>
  <sheetData>
    <row r="2" spans="1:12" s="186" customFormat="1" ht="18" x14ac:dyDescent="0.35">
      <c r="A2" s="38" t="s">
        <v>432</v>
      </c>
      <c r="B2" s="183"/>
      <c r="C2" s="184"/>
      <c r="D2" s="184"/>
      <c r="E2" s="184"/>
      <c r="F2" s="185"/>
      <c r="G2" s="183"/>
      <c r="H2" s="183"/>
      <c r="I2" s="183"/>
      <c r="J2" s="183"/>
      <c r="L2" s="187"/>
    </row>
    <row r="3" spans="1:12" s="186" customFormat="1" ht="18" x14ac:dyDescent="0.35">
      <c r="A3" s="188" t="s">
        <v>376</v>
      </c>
      <c r="B3" s="184"/>
      <c r="C3" s="184"/>
      <c r="D3" s="184"/>
      <c r="E3" s="184"/>
      <c r="F3" s="185"/>
      <c r="G3" s="183"/>
      <c r="H3" s="183"/>
      <c r="I3" s="183"/>
      <c r="J3" s="183"/>
      <c r="L3" s="187"/>
    </row>
    <row r="5" spans="1:12" s="190" customFormat="1" x14ac:dyDescent="0.3">
      <c r="A5" s="189" t="s">
        <v>341</v>
      </c>
      <c r="B5" s="299"/>
      <c r="C5" s="299"/>
      <c r="D5" s="299"/>
      <c r="E5" s="299"/>
      <c r="F5" s="445" t="s">
        <v>353</v>
      </c>
      <c r="G5" s="446"/>
      <c r="H5" s="446"/>
      <c r="I5" s="446"/>
      <c r="J5" s="447"/>
      <c r="L5" s="191"/>
    </row>
    <row r="6" spans="1:12" s="190" customFormat="1" x14ac:dyDescent="0.3">
      <c r="A6" s="192" t="s">
        <v>352</v>
      </c>
      <c r="B6" s="300">
        <v>2011</v>
      </c>
      <c r="C6" s="301">
        <v>2012</v>
      </c>
      <c r="D6" s="301">
        <v>2013</v>
      </c>
      <c r="E6" s="300" t="s">
        <v>316</v>
      </c>
      <c r="F6" s="193" t="s">
        <v>325</v>
      </c>
      <c r="G6" s="193" t="s">
        <v>338</v>
      </c>
      <c r="H6" s="193" t="s">
        <v>326</v>
      </c>
      <c r="I6" s="193" t="s">
        <v>327</v>
      </c>
      <c r="J6" s="194" t="s">
        <v>330</v>
      </c>
      <c r="L6" s="191"/>
    </row>
    <row r="7" spans="1:12" x14ac:dyDescent="0.3">
      <c r="A7" s="195"/>
      <c r="B7" s="203"/>
      <c r="C7" s="203"/>
      <c r="D7" s="302"/>
      <c r="E7" s="302"/>
      <c r="F7" s="196"/>
      <c r="G7" s="196"/>
      <c r="H7" s="196"/>
      <c r="I7" s="196"/>
      <c r="J7" s="197"/>
    </row>
    <row r="8" spans="1:12" x14ac:dyDescent="0.3">
      <c r="A8" s="195" t="s">
        <v>342</v>
      </c>
      <c r="B8" s="203">
        <f>'[1]B2 données 2011'!C193</f>
        <v>296797902.14999998</v>
      </c>
      <c r="C8" s="203">
        <f>'[1]B3 données 2012'!C191</f>
        <v>303957258.2299999</v>
      </c>
      <c r="D8" s="203">
        <f>'B4 données 2013'!C190</f>
        <v>316856093.04999995</v>
      </c>
      <c r="E8" s="203">
        <f>SUM(B8:D8)</f>
        <v>917611253.42999983</v>
      </c>
      <c r="F8" s="200"/>
      <c r="G8" s="200"/>
      <c r="H8" s="200"/>
      <c r="I8" s="200"/>
      <c r="J8" s="201">
        <f>SUM(B8:D8)</f>
        <v>917611253.42999983</v>
      </c>
    </row>
    <row r="9" spans="1:12" x14ac:dyDescent="0.3">
      <c r="A9" s="195" t="s">
        <v>343</v>
      </c>
      <c r="B9" s="203">
        <f>'[1]B2 données 2011'!C190</f>
        <v>73051621.75</v>
      </c>
      <c r="C9" s="203">
        <f>'[1]B3 données 2012'!C188</f>
        <v>83227891.739999965</v>
      </c>
      <c r="D9" s="203">
        <f>'B4 données 2013'!C187</f>
        <v>84840060.149999976</v>
      </c>
      <c r="E9" s="203">
        <f t="shared" ref="E9:E12" si="0">SUM(B9:D9)</f>
        <v>241119573.63999993</v>
      </c>
      <c r="F9" s="202"/>
      <c r="G9" s="202"/>
      <c r="H9" s="202"/>
      <c r="I9" s="203">
        <f>SUM(B9:D9)</f>
        <v>241119573.63999993</v>
      </c>
      <c r="J9" s="204"/>
    </row>
    <row r="10" spans="1:12" x14ac:dyDescent="0.3">
      <c r="A10" s="205" t="s">
        <v>358</v>
      </c>
      <c r="B10" s="203">
        <f>'[1]B2 données 2011'!C187</f>
        <v>41935362.640000008</v>
      </c>
      <c r="C10" s="203">
        <f>'[1]B3 données 2012'!C185</f>
        <v>43667516.969999954</v>
      </c>
      <c r="D10" s="203">
        <f>'B4 données 2013'!C184</f>
        <v>47022467.640000015</v>
      </c>
      <c r="E10" s="203">
        <f t="shared" si="0"/>
        <v>132625347.24999997</v>
      </c>
      <c r="F10" s="203">
        <f>SUM(B10:D10)</f>
        <v>132625347.24999997</v>
      </c>
      <c r="G10" s="202"/>
      <c r="H10" s="202"/>
      <c r="I10" s="202"/>
      <c r="J10" s="204"/>
    </row>
    <row r="11" spans="1:12" x14ac:dyDescent="0.3">
      <c r="A11" s="205" t="s">
        <v>354</v>
      </c>
      <c r="B11" s="203">
        <f>'[1]B2 données 2011'!C181</f>
        <v>15930519.080000013</v>
      </c>
      <c r="C11" s="203">
        <f>'[1]B3 données 2012'!C179</f>
        <v>16842382.780000001</v>
      </c>
      <c r="D11" s="203">
        <f>'B4 données 2013'!C178</f>
        <v>15810736.280000027</v>
      </c>
      <c r="E11" s="203">
        <f t="shared" si="0"/>
        <v>48583638.140000045</v>
      </c>
      <c r="F11" s="203">
        <f>SUM(B11:D11)</f>
        <v>48583638.140000045</v>
      </c>
      <c r="G11" s="206">
        <f>SUM(B11:D11)</f>
        <v>48583638.140000045</v>
      </c>
      <c r="H11" s="203">
        <f>SUM(B11:D11)</f>
        <v>48583638.140000045</v>
      </c>
      <c r="I11" s="202"/>
      <c r="J11" s="204"/>
    </row>
    <row r="12" spans="1:12" x14ac:dyDescent="0.3">
      <c r="A12" s="205" t="s">
        <v>355</v>
      </c>
      <c r="B12" s="208">
        <f>'[1]B2 données 2011'!C184</f>
        <v>71548725.270000011</v>
      </c>
      <c r="C12" s="208">
        <f>'[1]B3 données 2012'!C182</f>
        <v>77363735.690000027</v>
      </c>
      <c r="D12" s="208">
        <f>'B4 données 2013'!C181</f>
        <v>77377361.51000005</v>
      </c>
      <c r="E12" s="211">
        <f t="shared" si="0"/>
        <v>226289822.47000009</v>
      </c>
      <c r="F12" s="207">
        <f>SUM(B12:D12)</f>
        <v>226289822.47000009</v>
      </c>
      <c r="G12" s="208">
        <f>SUM(B12:D12)</f>
        <v>226289822.47000009</v>
      </c>
      <c r="H12" s="208">
        <f>SUM(B12:D12)</f>
        <v>226289822.47000009</v>
      </c>
      <c r="I12" s="209"/>
      <c r="J12" s="210"/>
    </row>
    <row r="13" spans="1:12" x14ac:dyDescent="0.3">
      <c r="A13" s="205"/>
      <c r="B13" s="203"/>
      <c r="C13" s="203"/>
      <c r="D13" s="203"/>
      <c r="E13" s="203">
        <f>SUM(E8:E12)</f>
        <v>1566229634.9299998</v>
      </c>
      <c r="F13" s="206"/>
      <c r="G13" s="203"/>
      <c r="H13" s="203"/>
      <c r="I13" s="202"/>
      <c r="J13" s="204"/>
    </row>
    <row r="14" spans="1:12" x14ac:dyDescent="0.3">
      <c r="A14" s="195"/>
      <c r="B14" s="203"/>
      <c r="C14" s="203"/>
      <c r="D14" s="203"/>
      <c r="E14" s="303">
        <f>SUM(F14:J14)</f>
        <v>2115976556.1500001</v>
      </c>
      <c r="F14" s="211">
        <f>SUM(F8:F12)</f>
        <v>407498807.86000013</v>
      </c>
      <c r="G14" s="211">
        <f>SUM(G8:G12)</f>
        <v>274873460.61000013</v>
      </c>
      <c r="H14" s="211">
        <f>SUM(H8:H12)</f>
        <v>274873460.61000013</v>
      </c>
      <c r="I14" s="211">
        <f>SUM(I8:I12)</f>
        <v>241119573.63999993</v>
      </c>
      <c r="J14" s="212">
        <f>SUM(J8:J12)</f>
        <v>917611253.42999983</v>
      </c>
    </row>
    <row r="15" spans="1:12" x14ac:dyDescent="0.3">
      <c r="A15" s="213" t="s">
        <v>344</v>
      </c>
      <c r="B15" s="305"/>
      <c r="C15" s="305"/>
      <c r="D15" s="305"/>
      <c r="E15" s="304">
        <f>SUM(F15:J15)</f>
        <v>1</v>
      </c>
      <c r="F15" s="365">
        <f>F14/E14</f>
        <v>0.19258191054887699</v>
      </c>
      <c r="G15" s="365">
        <f>G14/E14</f>
        <v>0.12990383083928392</v>
      </c>
      <c r="H15" s="365">
        <f>H14/E14</f>
        <v>0.12990383083928392</v>
      </c>
      <c r="I15" s="365">
        <f>I14/E14</f>
        <v>0.11395191167841423</v>
      </c>
      <c r="J15" s="366">
        <f>J14/E14</f>
        <v>0.43365851609414097</v>
      </c>
    </row>
    <row r="16" spans="1:12" x14ac:dyDescent="0.3">
      <c r="A16" s="358"/>
      <c r="B16" s="359"/>
      <c r="C16" s="359"/>
      <c r="D16" s="359"/>
      <c r="E16" s="360"/>
      <c r="F16" s="367"/>
      <c r="G16" s="367"/>
      <c r="H16" s="367"/>
      <c r="I16" s="367"/>
      <c r="J16" s="367"/>
    </row>
    <row r="17" spans="1:12" x14ac:dyDescent="0.3">
      <c r="F17" s="221"/>
      <c r="G17" s="221"/>
      <c r="H17" s="221"/>
      <c r="I17" s="221"/>
      <c r="J17" s="221"/>
    </row>
    <row r="18" spans="1:12" s="214" customFormat="1" x14ac:dyDescent="0.3">
      <c r="A18" s="214" t="s">
        <v>351</v>
      </c>
      <c r="B18" s="215"/>
      <c r="C18" s="215"/>
      <c r="D18" s="215"/>
      <c r="E18" s="215"/>
      <c r="F18" s="217" t="s">
        <v>364</v>
      </c>
      <c r="G18" s="216"/>
      <c r="H18" s="216"/>
      <c r="I18" s="216"/>
      <c r="J18" s="216"/>
      <c r="K18" s="217"/>
      <c r="L18" s="218"/>
    </row>
    <row r="19" spans="1:12" x14ac:dyDescent="0.3">
      <c r="A19" s="219"/>
      <c r="E19" s="314">
        <f>SUM(F19:J19)</f>
        <v>100</v>
      </c>
      <c r="F19" s="369">
        <v>19.260000000000002</v>
      </c>
      <c r="G19" s="369">
        <v>12.99</v>
      </c>
      <c r="H19" s="369">
        <v>12.99</v>
      </c>
      <c r="I19" s="369">
        <v>11.39</v>
      </c>
      <c r="J19" s="369">
        <v>43.37</v>
      </c>
      <c r="K19" s="221"/>
      <c r="L19" s="222"/>
    </row>
    <row r="20" spans="1:12" x14ac:dyDescent="0.3">
      <c r="A20" s="214" t="s">
        <v>345</v>
      </c>
      <c r="F20" s="221"/>
      <c r="G20" s="221"/>
      <c r="H20" s="221"/>
      <c r="I20" s="221"/>
      <c r="J20" s="221"/>
      <c r="K20" s="223"/>
      <c r="L20" s="222"/>
    </row>
    <row r="21" spans="1:12" x14ac:dyDescent="0.3">
      <c r="A21" s="214" t="s">
        <v>346</v>
      </c>
      <c r="K21" s="221"/>
      <c r="L21" s="222"/>
    </row>
    <row r="22" spans="1:12" x14ac:dyDescent="0.3">
      <c r="A22" s="214" t="s">
        <v>347</v>
      </c>
    </row>
    <row r="23" spans="1:12" x14ac:dyDescent="0.3">
      <c r="A23" s="214" t="s">
        <v>348</v>
      </c>
    </row>
    <row r="24" spans="1:12" x14ac:dyDescent="0.3">
      <c r="A24" s="214" t="s">
        <v>360</v>
      </c>
    </row>
    <row r="25" spans="1:12" x14ac:dyDescent="0.3">
      <c r="A25" s="214" t="s">
        <v>349</v>
      </c>
    </row>
    <row r="26" spans="1:12" x14ac:dyDescent="0.3">
      <c r="A26" s="214" t="s">
        <v>359</v>
      </c>
    </row>
    <row r="27" spans="1:12" x14ac:dyDescent="0.3">
      <c r="A27" s="214" t="s">
        <v>356</v>
      </c>
    </row>
    <row r="28" spans="1:12" x14ac:dyDescent="0.3">
      <c r="A28" s="214" t="s">
        <v>350</v>
      </c>
    </row>
    <row r="29" spans="1:12" x14ac:dyDescent="0.3">
      <c r="A29" s="219"/>
    </row>
  </sheetData>
  <mergeCells count="1">
    <mergeCell ref="F5:J5"/>
  </mergeCells>
  <pageMargins left="0.19685039370078741" right="0.19685039370078741" top="0.39370078740157483" bottom="0.39370078740157483" header="0.31496062992125984" footer="0.51181102362204722"/>
  <pageSetup paperSize="9" scale="9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9"/>
  <sheetViews>
    <sheetView showGridLines="0" tabSelected="1" workbookViewId="0">
      <selection activeCell="E30" sqref="E30"/>
    </sheetView>
  </sheetViews>
  <sheetFormatPr baseColWidth="10" defaultColWidth="10.33203125" defaultRowHeight="13.8" x14ac:dyDescent="0.3"/>
  <cols>
    <col min="1" max="1" width="22.21875" style="198" customWidth="1"/>
    <col min="2" max="2" width="10.88671875" style="220" customWidth="1"/>
    <col min="3" max="3" width="15.88671875" style="220" customWidth="1"/>
    <col min="4" max="4" width="9.77734375" style="220" customWidth="1"/>
    <col min="5" max="5" width="13.77734375" style="220" customWidth="1"/>
    <col min="6" max="6" width="9.5546875" style="198" customWidth="1"/>
    <col min="7" max="7" width="9.77734375" style="198" customWidth="1"/>
    <col min="8" max="10" width="9.6640625" style="198" customWidth="1"/>
    <col min="11" max="11" width="10.33203125" style="198"/>
    <col min="12" max="12" width="11.44140625" style="199" bestFit="1" customWidth="1"/>
    <col min="13" max="16384" width="10.33203125" style="198"/>
  </cols>
  <sheetData>
    <row r="2" spans="1:12" s="186" customFormat="1" ht="18" x14ac:dyDescent="0.35">
      <c r="A2" s="38" t="s">
        <v>432</v>
      </c>
      <c r="B2" s="183"/>
      <c r="C2" s="184"/>
      <c r="D2" s="184"/>
      <c r="E2" s="184"/>
      <c r="F2" s="185"/>
      <c r="G2" s="183"/>
      <c r="H2" s="183"/>
      <c r="I2" s="183"/>
      <c r="J2" s="183"/>
      <c r="L2" s="187"/>
    </row>
    <row r="3" spans="1:12" s="186" customFormat="1" ht="18" x14ac:dyDescent="0.35">
      <c r="A3" s="188" t="s">
        <v>376</v>
      </c>
      <c r="B3" s="184"/>
      <c r="C3" s="184"/>
      <c r="D3" s="184"/>
      <c r="E3" s="184"/>
      <c r="F3" s="185"/>
      <c r="G3" s="183"/>
      <c r="H3" s="183"/>
      <c r="I3" s="183"/>
      <c r="J3" s="183"/>
      <c r="L3" s="187"/>
    </row>
    <row r="5" spans="1:12" s="190" customFormat="1" x14ac:dyDescent="0.3">
      <c r="A5" s="189" t="s">
        <v>341</v>
      </c>
      <c r="B5" s="299"/>
      <c r="C5" s="299"/>
      <c r="D5" s="299"/>
      <c r="E5" s="299"/>
      <c r="F5" s="445" t="s">
        <v>353</v>
      </c>
      <c r="G5" s="446"/>
      <c r="H5" s="446"/>
      <c r="I5" s="446"/>
      <c r="J5" s="447"/>
      <c r="L5" s="191"/>
    </row>
    <row r="6" spans="1:12" s="190" customFormat="1" x14ac:dyDescent="0.3">
      <c r="A6" s="192" t="s">
        <v>352</v>
      </c>
      <c r="B6" s="300">
        <v>2011</v>
      </c>
      <c r="C6" s="301">
        <v>2012</v>
      </c>
      <c r="D6" s="301">
        <v>2013</v>
      </c>
      <c r="E6" s="300" t="s">
        <v>316</v>
      </c>
      <c r="F6" s="193" t="s">
        <v>325</v>
      </c>
      <c r="G6" s="193" t="s">
        <v>338</v>
      </c>
      <c r="H6" s="193" t="s">
        <v>326</v>
      </c>
      <c r="I6" s="193" t="s">
        <v>327</v>
      </c>
      <c r="J6" s="194" t="s">
        <v>330</v>
      </c>
      <c r="L6" s="191"/>
    </row>
    <row r="7" spans="1:12" x14ac:dyDescent="0.3">
      <c r="A7" s="195"/>
      <c r="B7" s="203"/>
      <c r="C7" s="203"/>
      <c r="D7" s="302"/>
      <c r="E7" s="302"/>
      <c r="F7" s="196"/>
      <c r="G7" s="196"/>
      <c r="H7" s="196"/>
      <c r="I7" s="196"/>
      <c r="J7" s="197"/>
    </row>
    <row r="8" spans="1:12" x14ac:dyDescent="0.3">
      <c r="A8" s="195" t="s">
        <v>342</v>
      </c>
      <c r="B8" s="203">
        <f>'[1]B2 données 2011'!C193</f>
        <v>296797902.14999998</v>
      </c>
      <c r="C8" s="203">
        <f>'[1]B3 données 2012'!C191</f>
        <v>303957258.2299999</v>
      </c>
      <c r="D8" s="203">
        <f>'B4 données 2013'!C190</f>
        <v>316856093.04999995</v>
      </c>
      <c r="E8" s="203">
        <f>SUM(B8:D8)</f>
        <v>917611253.42999983</v>
      </c>
      <c r="F8" s="200"/>
      <c r="G8" s="200"/>
      <c r="H8" s="200"/>
      <c r="I8" s="200"/>
      <c r="J8" s="201">
        <f>SUM(B8:D8)</f>
        <v>917611253.42999983</v>
      </c>
    </row>
    <row r="9" spans="1:12" x14ac:dyDescent="0.3">
      <c r="A9" s="195" t="s">
        <v>343</v>
      </c>
      <c r="B9" s="203">
        <f>'[1]B2 données 2011'!C190</f>
        <v>73051621.75</v>
      </c>
      <c r="C9" s="203">
        <f>'[1]B3 données 2012'!C188</f>
        <v>83227891.739999965</v>
      </c>
      <c r="D9" s="203">
        <f>'B4 données 2013'!C187</f>
        <v>84840060.149999976</v>
      </c>
      <c r="E9" s="203">
        <f t="shared" ref="E9:E12" si="0">SUM(B9:D9)</f>
        <v>241119573.63999993</v>
      </c>
      <c r="F9" s="202"/>
      <c r="G9" s="202"/>
      <c r="H9" s="202"/>
      <c r="I9" s="203">
        <f>SUM(B9:D9)</f>
        <v>241119573.63999993</v>
      </c>
      <c r="J9" s="204"/>
    </row>
    <row r="10" spans="1:12" x14ac:dyDescent="0.3">
      <c r="A10" s="205" t="s">
        <v>358</v>
      </c>
      <c r="B10" s="203">
        <f>'[1]B2 données 2011'!C187</f>
        <v>41935362.640000008</v>
      </c>
      <c r="C10" s="203">
        <f>'[1]B3 données 2012'!C185</f>
        <v>43667516.969999954</v>
      </c>
      <c r="D10" s="203">
        <f>'B4 données 2013'!C184</f>
        <v>47022467.640000015</v>
      </c>
      <c r="E10" s="203">
        <f t="shared" si="0"/>
        <v>132625347.24999997</v>
      </c>
      <c r="F10" s="203">
        <f>SUM(B10:D10)</f>
        <v>132625347.24999997</v>
      </c>
      <c r="G10" s="202"/>
      <c r="H10" s="202"/>
      <c r="I10" s="202"/>
      <c r="J10" s="204"/>
    </row>
    <row r="11" spans="1:12" x14ac:dyDescent="0.3">
      <c r="A11" s="205" t="s">
        <v>498</v>
      </c>
      <c r="B11" s="203">
        <f>'[1]B2 données 2011'!C181</f>
        <v>15930519.080000013</v>
      </c>
      <c r="C11" s="203">
        <f>'[1]B3 données 2012'!C179</f>
        <v>16842382.780000001</v>
      </c>
      <c r="D11" s="203">
        <f>'B4 données 2013'!C178</f>
        <v>15810736.280000027</v>
      </c>
      <c r="E11" s="203">
        <f t="shared" si="0"/>
        <v>48583638.140000045</v>
      </c>
      <c r="F11" s="203">
        <f>SUM(B11:D11)</f>
        <v>48583638.140000045</v>
      </c>
      <c r="G11" s="206">
        <f>SUM(B11:D11)</f>
        <v>48583638.140000045</v>
      </c>
      <c r="H11" s="203">
        <f>SUM(B11:D11)</f>
        <v>48583638.140000045</v>
      </c>
      <c r="I11" s="202"/>
      <c r="J11" s="204"/>
    </row>
    <row r="12" spans="1:12" x14ac:dyDescent="0.3">
      <c r="A12" s="205" t="s">
        <v>355</v>
      </c>
      <c r="B12" s="208">
        <f>'[1]B2 données 2011'!C184</f>
        <v>71548725.270000011</v>
      </c>
      <c r="C12" s="208">
        <f>'[1]B3 données 2012'!C182</f>
        <v>77363735.690000027</v>
      </c>
      <c r="D12" s="208">
        <f>'B4 données 2013'!C181</f>
        <v>77377361.51000005</v>
      </c>
      <c r="E12" s="211">
        <f t="shared" si="0"/>
        <v>226289822.47000009</v>
      </c>
      <c r="F12" s="207">
        <f>SUM(B12:D12)</f>
        <v>226289822.47000009</v>
      </c>
      <c r="G12" s="208">
        <f>SUM(B12:D12)</f>
        <v>226289822.47000009</v>
      </c>
      <c r="H12" s="208">
        <f>SUM(B12:D12)</f>
        <v>226289822.47000009</v>
      </c>
      <c r="I12" s="209"/>
      <c r="J12" s="210"/>
    </row>
    <row r="13" spans="1:12" x14ac:dyDescent="0.3">
      <c r="A13" s="205"/>
      <c r="B13" s="203"/>
      <c r="C13" s="203"/>
      <c r="D13" s="203"/>
      <c r="E13" s="203">
        <f>SUM(E8:E12)</f>
        <v>1566229634.9299998</v>
      </c>
      <c r="F13" s="206"/>
      <c r="G13" s="203"/>
      <c r="H13" s="203"/>
      <c r="I13" s="202"/>
      <c r="J13" s="204"/>
    </row>
    <row r="14" spans="1:12" x14ac:dyDescent="0.3">
      <c r="A14" s="195"/>
      <c r="B14" s="203"/>
      <c r="C14" s="203"/>
      <c r="D14" s="203"/>
      <c r="E14" s="303">
        <f>SUM(F14:J14)</f>
        <v>2115976556.1500001</v>
      </c>
      <c r="F14" s="211">
        <f>SUM(F8:F12)</f>
        <v>407498807.86000013</v>
      </c>
      <c r="G14" s="211">
        <f>SUM(G8:G12)</f>
        <v>274873460.61000013</v>
      </c>
      <c r="H14" s="211">
        <f>SUM(H8:H12)</f>
        <v>274873460.61000013</v>
      </c>
      <c r="I14" s="211">
        <f>SUM(I8:I12)</f>
        <v>241119573.63999993</v>
      </c>
      <c r="J14" s="212">
        <f>SUM(J8:J12)</f>
        <v>917611253.42999983</v>
      </c>
    </row>
    <row r="15" spans="1:12" x14ac:dyDescent="0.3">
      <c r="A15" s="213" t="s">
        <v>344</v>
      </c>
      <c r="B15" s="305"/>
      <c r="C15" s="305"/>
      <c r="D15" s="305"/>
      <c r="E15" s="304">
        <f>SUM(F15:J15)</f>
        <v>1</v>
      </c>
      <c r="F15" s="365">
        <f>F14/E14</f>
        <v>0.19258191054887699</v>
      </c>
      <c r="G15" s="365">
        <f>G14/E14</f>
        <v>0.12990383083928392</v>
      </c>
      <c r="H15" s="365">
        <f>H14/E14</f>
        <v>0.12990383083928392</v>
      </c>
      <c r="I15" s="365">
        <f>I14/E14</f>
        <v>0.11395191167841423</v>
      </c>
      <c r="J15" s="366">
        <f>J14/E14</f>
        <v>0.43365851609414097</v>
      </c>
    </row>
    <row r="16" spans="1:12" ht="27.6" customHeight="1" x14ac:dyDescent="0.3">
      <c r="A16" s="358"/>
      <c r="B16" s="359"/>
      <c r="C16" s="359"/>
      <c r="D16" s="359"/>
      <c r="E16" s="360"/>
      <c r="F16" s="367"/>
      <c r="G16" s="367"/>
      <c r="H16" s="367"/>
      <c r="I16" s="367"/>
      <c r="J16" s="367"/>
    </row>
    <row r="17" spans="1:12" s="396" customFormat="1" ht="13.95" customHeight="1" x14ac:dyDescent="0.3">
      <c r="A17" s="411" t="s">
        <v>500</v>
      </c>
      <c r="B17" s="412"/>
      <c r="C17" s="412"/>
      <c r="D17" s="412"/>
      <c r="E17" s="413"/>
      <c r="F17" s="414"/>
      <c r="G17" s="414"/>
      <c r="H17" s="414"/>
      <c r="I17" s="414"/>
      <c r="J17" s="414"/>
      <c r="L17" s="397"/>
    </row>
    <row r="18" spans="1:12" s="396" customFormat="1" ht="13.95" customHeight="1" x14ac:dyDescent="0.3">
      <c r="B18" s="398"/>
      <c r="C18" s="398"/>
      <c r="D18" s="398"/>
      <c r="E18" s="399"/>
      <c r="F18" s="448" t="s">
        <v>492</v>
      </c>
      <c r="G18" s="449"/>
      <c r="H18" s="449"/>
      <c r="I18" s="449"/>
      <c r="J18" s="449"/>
      <c r="L18" s="397"/>
    </row>
    <row r="19" spans="1:12" s="219" customFormat="1" ht="13.95" customHeight="1" x14ac:dyDescent="0.3">
      <c r="A19" s="400" t="s">
        <v>491</v>
      </c>
      <c r="B19" s="417">
        <v>2011</v>
      </c>
      <c r="C19" s="417">
        <v>2012</v>
      </c>
      <c r="D19" s="417">
        <v>2013</v>
      </c>
      <c r="E19" s="370" t="s">
        <v>316</v>
      </c>
      <c r="F19" s="131" t="s">
        <v>325</v>
      </c>
      <c r="G19" s="131" t="s">
        <v>338</v>
      </c>
      <c r="H19" s="131" t="s">
        <v>326</v>
      </c>
      <c r="I19" s="131" t="s">
        <v>327</v>
      </c>
      <c r="J19" s="131" t="s">
        <v>330</v>
      </c>
      <c r="L19" s="361"/>
    </row>
    <row r="20" spans="1:12" s="219" customFormat="1" ht="13.95" customHeight="1" x14ac:dyDescent="0.3">
      <c r="A20" s="371"/>
      <c r="B20" s="372"/>
      <c r="C20" s="372"/>
      <c r="D20" s="372"/>
      <c r="E20" s="373"/>
      <c r="F20" s="374"/>
      <c r="G20" s="374"/>
      <c r="H20" s="374"/>
      <c r="I20" s="374"/>
      <c r="J20" s="375"/>
      <c r="L20" s="361"/>
    </row>
    <row r="21" spans="1:12" s="219" customFormat="1" ht="13.95" customHeight="1" x14ac:dyDescent="0.3">
      <c r="A21" s="376" t="s">
        <v>495</v>
      </c>
      <c r="B21" s="377">
        <v>296797902.14999998</v>
      </c>
      <c r="C21" s="377">
        <v>303957258.2299999</v>
      </c>
      <c r="D21" s="377">
        <v>316856093.04999995</v>
      </c>
      <c r="E21" s="377">
        <f>SUM(B21:D21)</f>
        <v>917611253.42999983</v>
      </c>
      <c r="F21" s="378"/>
      <c r="G21" s="378"/>
      <c r="H21" s="378"/>
      <c r="I21" s="378"/>
      <c r="J21" s="379">
        <f>E21/E26</f>
        <v>0.58587274366763664</v>
      </c>
      <c r="K21" s="415">
        <f>E21/$E$26</f>
        <v>0.58587274366763664</v>
      </c>
      <c r="L21" s="361"/>
    </row>
    <row r="22" spans="1:12" s="219" customFormat="1" ht="13.95" customHeight="1" x14ac:dyDescent="0.3">
      <c r="A22" s="376" t="s">
        <v>496</v>
      </c>
      <c r="B22" s="377">
        <v>73051621.75</v>
      </c>
      <c r="C22" s="377">
        <v>83227891.739999965</v>
      </c>
      <c r="D22" s="377">
        <v>84840060.149999976</v>
      </c>
      <c r="E22" s="377">
        <f t="shared" ref="E22:E25" si="1">SUM(B22:D22)</f>
        <v>241119573.63999993</v>
      </c>
      <c r="F22" s="378"/>
      <c r="G22" s="378"/>
      <c r="H22" s="378"/>
      <c r="I22" s="378">
        <f>E22/E26</f>
        <v>0.15394905591272151</v>
      </c>
      <c r="J22" s="379"/>
      <c r="K22" s="415">
        <f t="shared" ref="K22:K25" si="2">E22/$E$26</f>
        <v>0.15394905591272151</v>
      </c>
      <c r="L22" s="361"/>
    </row>
    <row r="23" spans="1:12" s="219" customFormat="1" ht="13.95" customHeight="1" x14ac:dyDescent="0.3">
      <c r="A23" s="376" t="s">
        <v>373</v>
      </c>
      <c r="B23" s="377">
        <v>41935362.640000008</v>
      </c>
      <c r="C23" s="377">
        <v>43667516.969999954</v>
      </c>
      <c r="D23" s="377">
        <v>47022467.640000015</v>
      </c>
      <c r="E23" s="377">
        <f t="shared" si="1"/>
        <v>132625347.24999997</v>
      </c>
      <c r="F23" s="378">
        <f>E23/E26</f>
        <v>8.4678098467934712E-2</v>
      </c>
      <c r="G23" s="378"/>
      <c r="H23" s="378"/>
      <c r="I23" s="378"/>
      <c r="J23" s="379"/>
      <c r="K23" s="415">
        <f t="shared" si="2"/>
        <v>8.4678098467934712E-2</v>
      </c>
      <c r="L23" s="361"/>
    </row>
    <row r="24" spans="1:12" s="219" customFormat="1" ht="13.95" customHeight="1" x14ac:dyDescent="0.3">
      <c r="A24" s="376" t="s">
        <v>497</v>
      </c>
      <c r="B24" s="377">
        <v>15930519.080000013</v>
      </c>
      <c r="C24" s="377">
        <v>16842382.780000001</v>
      </c>
      <c r="D24" s="377">
        <v>15810736.280000027</v>
      </c>
      <c r="E24" s="377">
        <f t="shared" si="1"/>
        <v>48583638.140000045</v>
      </c>
      <c r="F24" s="378">
        <f>(E24/$E$26)/3</f>
        <v>1.0339828646768308E-2</v>
      </c>
      <c r="G24" s="378">
        <f>(E24/E26)/3</f>
        <v>1.0339828646768308E-2</v>
      </c>
      <c r="H24" s="378">
        <f>(E24/E26)/3</f>
        <v>1.0339828646768308E-2</v>
      </c>
      <c r="I24" s="378"/>
      <c r="J24" s="379"/>
      <c r="K24" s="415">
        <f t="shared" si="2"/>
        <v>3.1019485940304924E-2</v>
      </c>
      <c r="L24" s="361"/>
    </row>
    <row r="25" spans="1:12" s="219" customFormat="1" ht="13.95" customHeight="1" x14ac:dyDescent="0.3">
      <c r="A25" s="380" t="s">
        <v>499</v>
      </c>
      <c r="B25" s="381">
        <v>71548725.270000011</v>
      </c>
      <c r="C25" s="381">
        <v>77363735.690000027</v>
      </c>
      <c r="D25" s="381">
        <v>77377361.51000005</v>
      </c>
      <c r="E25" s="381">
        <f t="shared" si="1"/>
        <v>226289822.47000009</v>
      </c>
      <c r="F25" s="382">
        <f>(E25/E26)/3</f>
        <v>4.8160205337134089E-2</v>
      </c>
      <c r="G25" s="382">
        <f>(E25/E26)/3</f>
        <v>4.8160205337134089E-2</v>
      </c>
      <c r="H25" s="382">
        <f>(E25/E26)/3</f>
        <v>4.8160205337134089E-2</v>
      </c>
      <c r="I25" s="382"/>
      <c r="J25" s="383"/>
      <c r="K25" s="415">
        <f t="shared" si="2"/>
        <v>0.14448061601140227</v>
      </c>
      <c r="L25" s="361"/>
    </row>
    <row r="26" spans="1:12" s="219" customFormat="1" ht="13.95" customHeight="1" x14ac:dyDescent="0.3">
      <c r="A26" s="362"/>
      <c r="B26" s="363"/>
      <c r="C26" s="363"/>
      <c r="D26" s="363"/>
      <c r="E26" s="363">
        <f>SUM(E21:E25)</f>
        <v>1566229634.9299998</v>
      </c>
      <c r="F26" s="367">
        <f>SUM(F21:F25)</f>
        <v>0.14317813245183711</v>
      </c>
      <c r="G26" s="367">
        <f t="shared" ref="G26:K26" si="3">SUM(G21:G25)</f>
        <v>5.8500033983902397E-2</v>
      </c>
      <c r="H26" s="367">
        <f t="shared" si="3"/>
        <v>5.8500033983902397E-2</v>
      </c>
      <c r="I26" s="367">
        <f t="shared" si="3"/>
        <v>0.15394905591272151</v>
      </c>
      <c r="J26" s="367">
        <f t="shared" si="3"/>
        <v>0.58587274366763664</v>
      </c>
      <c r="K26" s="416">
        <f t="shared" si="3"/>
        <v>1</v>
      </c>
      <c r="L26" s="361"/>
    </row>
    <row r="27" spans="1:12" s="219" customFormat="1" ht="13.95" customHeight="1" x14ac:dyDescent="0.3">
      <c r="A27" s="362"/>
      <c r="B27" s="363"/>
      <c r="C27" s="363"/>
      <c r="D27" s="363"/>
      <c r="E27" s="364"/>
      <c r="F27" s="368"/>
      <c r="G27" s="368"/>
      <c r="H27" s="368"/>
      <c r="I27" s="368"/>
      <c r="J27" s="368"/>
      <c r="L27" s="361"/>
    </row>
    <row r="28" spans="1:12" s="219" customFormat="1" ht="13.95" customHeight="1" x14ac:dyDescent="0.3">
      <c r="A28" s="362" t="s">
        <v>344</v>
      </c>
      <c r="B28" s="363"/>
      <c r="C28" s="363"/>
      <c r="D28" s="363"/>
      <c r="E28" s="364">
        <f>SUM(F28:J28)</f>
        <v>1</v>
      </c>
      <c r="F28" s="368">
        <f>F26</f>
        <v>0.14317813245183711</v>
      </c>
      <c r="G28" s="368">
        <f t="shared" ref="G28:J28" si="4">G26</f>
        <v>5.8500033983902397E-2</v>
      </c>
      <c r="H28" s="368">
        <f t="shared" si="4"/>
        <v>5.8500033983902397E-2</v>
      </c>
      <c r="I28" s="368">
        <f t="shared" si="4"/>
        <v>0.15394905591272151</v>
      </c>
      <c r="J28" s="368">
        <f t="shared" si="4"/>
        <v>0.58587274366763664</v>
      </c>
      <c r="L28" s="361"/>
    </row>
    <row r="29" spans="1:12" x14ac:dyDescent="0.3">
      <c r="A29" s="358"/>
      <c r="B29" s="359"/>
      <c r="C29" s="359"/>
      <c r="D29" s="359"/>
      <c r="E29" s="360"/>
      <c r="F29" s="367"/>
      <c r="G29" s="367"/>
      <c r="H29" s="367"/>
      <c r="I29" s="367"/>
      <c r="J29" s="367"/>
    </row>
    <row r="30" spans="1:12" x14ac:dyDescent="0.3">
      <c r="A30" s="358"/>
      <c r="B30" s="359"/>
      <c r="C30" s="359"/>
      <c r="D30" s="359"/>
      <c r="E30" s="360"/>
      <c r="F30" s="367"/>
      <c r="G30" s="367"/>
      <c r="H30" s="367"/>
      <c r="I30" s="367"/>
      <c r="J30" s="367"/>
    </row>
    <row r="31" spans="1:12" x14ac:dyDescent="0.3">
      <c r="A31" s="358"/>
      <c r="B31" s="359"/>
      <c r="C31" s="359"/>
      <c r="D31" s="359"/>
      <c r="E31" s="360"/>
      <c r="F31" s="367"/>
      <c r="G31" s="367"/>
      <c r="H31" s="367"/>
      <c r="I31" s="367"/>
      <c r="J31" s="367"/>
    </row>
    <row r="32" spans="1:12" x14ac:dyDescent="0.3">
      <c r="F32" s="221"/>
      <c r="G32" s="221"/>
      <c r="H32" s="221"/>
      <c r="I32" s="221"/>
      <c r="J32" s="221"/>
    </row>
    <row r="33" spans="1:12" s="214" customFormat="1" x14ac:dyDescent="0.3">
      <c r="A33" s="214" t="s">
        <v>351</v>
      </c>
      <c r="B33" s="215"/>
      <c r="C33" s="215"/>
      <c r="D33" s="215"/>
      <c r="E33" s="215"/>
      <c r="F33" s="217" t="s">
        <v>364</v>
      </c>
      <c r="G33" s="216"/>
      <c r="H33" s="216"/>
      <c r="I33" s="216"/>
      <c r="J33" s="216"/>
      <c r="K33" s="217"/>
      <c r="L33" s="218"/>
    </row>
    <row r="34" spans="1:12" x14ac:dyDescent="0.3">
      <c r="A34" s="219"/>
      <c r="E34" s="314">
        <f>SUM(F34:J34)</f>
        <v>100</v>
      </c>
      <c r="F34" s="369">
        <v>19.260000000000002</v>
      </c>
      <c r="G34" s="369">
        <v>12.99</v>
      </c>
      <c r="H34" s="369">
        <v>12.99</v>
      </c>
      <c r="I34" s="369">
        <v>11.39</v>
      </c>
      <c r="J34" s="369">
        <v>43.37</v>
      </c>
      <c r="K34" s="221"/>
      <c r="L34" s="222"/>
    </row>
    <row r="35" spans="1:12" x14ac:dyDescent="0.3">
      <c r="A35" s="214" t="s">
        <v>345</v>
      </c>
      <c r="F35" s="221"/>
      <c r="G35" s="221"/>
      <c r="H35" s="221"/>
      <c r="I35" s="221"/>
      <c r="J35" s="221"/>
      <c r="K35" s="223"/>
      <c r="L35" s="222"/>
    </row>
    <row r="36" spans="1:12" x14ac:dyDescent="0.3">
      <c r="A36" s="214" t="s">
        <v>346</v>
      </c>
      <c r="K36" s="221"/>
      <c r="L36" s="222"/>
    </row>
    <row r="37" spans="1:12" x14ac:dyDescent="0.3">
      <c r="A37" s="214" t="s">
        <v>347</v>
      </c>
    </row>
    <row r="38" spans="1:12" x14ac:dyDescent="0.3">
      <c r="A38" s="214" t="s">
        <v>348</v>
      </c>
    </row>
    <row r="39" spans="1:12" x14ac:dyDescent="0.3">
      <c r="A39" s="214" t="s">
        <v>360</v>
      </c>
    </row>
    <row r="40" spans="1:12" x14ac:dyDescent="0.3">
      <c r="A40" s="214" t="s">
        <v>349</v>
      </c>
    </row>
    <row r="41" spans="1:12" x14ac:dyDescent="0.3">
      <c r="A41" s="214" t="s">
        <v>359</v>
      </c>
    </row>
    <row r="42" spans="1:12" x14ac:dyDescent="0.3">
      <c r="A42" s="214" t="s">
        <v>356</v>
      </c>
    </row>
    <row r="43" spans="1:12" x14ac:dyDescent="0.3">
      <c r="A43" s="214" t="s">
        <v>350</v>
      </c>
    </row>
    <row r="44" spans="1:12" x14ac:dyDescent="0.3">
      <c r="A44" s="219"/>
    </row>
    <row r="46" spans="1:12" ht="12.6" customHeight="1" x14ac:dyDescent="0.3">
      <c r="A46" s="401" t="s">
        <v>411</v>
      </c>
      <c r="B46" s="403">
        <v>2011</v>
      </c>
      <c r="C46" s="402">
        <v>1392004230</v>
      </c>
      <c r="D46" s="404"/>
    </row>
    <row r="47" spans="1:12" ht="14.4" customHeight="1" x14ac:dyDescent="0.3">
      <c r="B47" s="403">
        <v>2012</v>
      </c>
      <c r="C47" s="402">
        <v>1436942748</v>
      </c>
      <c r="D47" s="405"/>
    </row>
    <row r="48" spans="1:12" x14ac:dyDescent="0.3">
      <c r="B48" s="403">
        <v>2013</v>
      </c>
      <c r="C48" s="402">
        <v>1484032362</v>
      </c>
      <c r="D48" s="406"/>
    </row>
    <row r="49" spans="3:4" x14ac:dyDescent="0.3">
      <c r="C49" s="402">
        <f>SUM(C46:C48)</f>
        <v>4312979340</v>
      </c>
      <c r="D49" s="407">
        <f>E26/C49</f>
        <v>0.36314331960838925</v>
      </c>
    </row>
  </sheetData>
  <mergeCells count="2">
    <mergeCell ref="F5:J5"/>
    <mergeCell ref="F18:J18"/>
  </mergeCells>
  <pageMargins left="0.19685039370078741" right="0.19685039370078741" top="0.39370078740157483" bottom="0.39370078740157483" header="0.31496062992125984" footer="0.51181102362204722"/>
  <pageSetup paperSize="9" scale="95" orientation="landscape"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86"/>
  <sheetViews>
    <sheetView topLeftCell="D1" workbookViewId="0">
      <pane ySplit="7" topLeftCell="A8" activePane="bottomLeft" state="frozen"/>
      <selection pane="bottomLeft" activeCell="O8" sqref="O8"/>
    </sheetView>
  </sheetViews>
  <sheetFormatPr baseColWidth="10" defaultRowHeight="13.8" x14ac:dyDescent="0.25"/>
  <cols>
    <col min="1" max="1" width="5.6640625" style="49" customWidth="1"/>
    <col min="2" max="2" width="20.6640625" style="50" customWidth="1"/>
    <col min="3" max="3" width="8.6640625" style="167" customWidth="1"/>
    <col min="4" max="8" width="8.6640625" customWidth="1"/>
    <col min="9" max="9" width="10.33203125" customWidth="1"/>
    <col min="10" max="10" width="9.6640625" customWidth="1"/>
    <col min="11" max="11" width="10.6640625" customWidth="1"/>
    <col min="12" max="12" width="8.88671875" customWidth="1"/>
    <col min="13" max="16" width="10.6640625" customWidth="1"/>
    <col min="17" max="17" width="10.6640625" style="53" customWidth="1"/>
    <col min="20" max="20" width="11.44140625" style="53"/>
  </cols>
  <sheetData>
    <row r="1" spans="1:20" x14ac:dyDescent="0.3">
      <c r="A1" s="40" t="s">
        <v>444</v>
      </c>
      <c r="B1" s="41"/>
      <c r="C1" s="73"/>
      <c r="D1" s="73"/>
      <c r="E1" s="73"/>
      <c r="F1" s="73"/>
      <c r="G1" s="73"/>
      <c r="H1" s="73"/>
      <c r="I1" s="73"/>
      <c r="J1" s="73"/>
      <c r="K1" s="73"/>
      <c r="L1" s="73"/>
      <c r="M1" s="73"/>
      <c r="N1" s="73"/>
      <c r="O1" s="73"/>
      <c r="P1" s="73"/>
      <c r="Q1" s="77"/>
      <c r="R1" s="73"/>
    </row>
    <row r="2" spans="1:20" x14ac:dyDescent="0.3">
      <c r="A2" s="42"/>
      <c r="B2" s="43"/>
      <c r="C2" s="73"/>
      <c r="D2" s="73"/>
      <c r="E2" s="73"/>
      <c r="F2" s="73"/>
      <c r="G2" s="73"/>
      <c r="H2" s="73"/>
      <c r="I2" s="73"/>
      <c r="J2" s="73"/>
      <c r="K2" s="73"/>
      <c r="L2" s="73"/>
      <c r="M2" s="73"/>
      <c r="N2" s="73"/>
      <c r="O2" s="73"/>
      <c r="P2" s="73"/>
      <c r="Q2" s="77"/>
      <c r="R2" s="73"/>
    </row>
    <row r="3" spans="1:20" x14ac:dyDescent="0.3">
      <c r="A3" s="44"/>
      <c r="B3" s="44"/>
      <c r="C3" s="73"/>
      <c r="D3" s="73"/>
      <c r="E3" s="73"/>
      <c r="F3" s="73"/>
      <c r="G3" s="73"/>
      <c r="H3" s="73"/>
      <c r="I3" s="451" t="s">
        <v>399</v>
      </c>
      <c r="J3" s="452"/>
      <c r="K3" s="453"/>
      <c r="L3" s="453"/>
      <c r="M3" s="453"/>
      <c r="N3" s="454"/>
      <c r="O3" s="73"/>
      <c r="P3" s="73"/>
      <c r="Q3" s="77"/>
      <c r="R3" s="455" t="s">
        <v>400</v>
      </c>
      <c r="S3" s="456"/>
      <c r="T3" s="456"/>
    </row>
    <row r="4" spans="1:20" ht="27.6" customHeight="1" x14ac:dyDescent="0.3">
      <c r="A4" s="62"/>
      <c r="B4" s="62"/>
      <c r="C4" s="457" t="s">
        <v>388</v>
      </c>
      <c r="D4" s="458"/>
      <c r="E4" s="458"/>
      <c r="F4" s="459" t="s">
        <v>380</v>
      </c>
      <c r="G4" s="460"/>
      <c r="H4" s="74"/>
      <c r="I4" s="450" t="s">
        <v>413</v>
      </c>
      <c r="J4" s="461"/>
      <c r="K4" s="461"/>
      <c r="L4" s="461"/>
      <c r="M4" s="461"/>
      <c r="N4" s="436"/>
      <c r="O4" s="462" t="s">
        <v>396</v>
      </c>
      <c r="P4" s="462"/>
      <c r="Q4" s="462"/>
      <c r="R4" s="463" t="s">
        <v>402</v>
      </c>
      <c r="S4" s="464"/>
      <c r="T4" s="465"/>
    </row>
    <row r="5" spans="1:20" x14ac:dyDescent="0.3">
      <c r="A5" s="63"/>
      <c r="B5" s="64"/>
      <c r="C5" s="136">
        <v>2011</v>
      </c>
      <c r="D5" s="136">
        <v>2012</v>
      </c>
      <c r="E5" s="136">
        <v>2013</v>
      </c>
      <c r="F5" s="137">
        <v>2011</v>
      </c>
      <c r="G5" s="137">
        <v>2012</v>
      </c>
      <c r="H5" s="137">
        <v>2013</v>
      </c>
      <c r="I5" s="450">
        <v>2011</v>
      </c>
      <c r="J5" s="436"/>
      <c r="K5" s="129">
        <v>2012</v>
      </c>
      <c r="L5" s="129"/>
      <c r="M5" s="129">
        <v>2013</v>
      </c>
      <c r="N5" s="129"/>
      <c r="O5" s="136">
        <v>2011</v>
      </c>
      <c r="P5" s="136">
        <v>2012</v>
      </c>
      <c r="Q5" s="169">
        <v>2013</v>
      </c>
      <c r="R5" s="135">
        <v>2011</v>
      </c>
      <c r="S5" s="135">
        <v>2012</v>
      </c>
      <c r="T5" s="170">
        <v>2013</v>
      </c>
    </row>
    <row r="6" spans="1:20" x14ac:dyDescent="0.3">
      <c r="A6" s="65"/>
      <c r="B6" s="66" t="s">
        <v>397</v>
      </c>
      <c r="C6" s="75">
        <f>SUM(C8:C171)</f>
        <v>284668</v>
      </c>
      <c r="D6" s="75">
        <f>SUM(D8:D171)</f>
        <v>291395</v>
      </c>
      <c r="E6" s="75">
        <f>SUM(E8:E171)</f>
        <v>297622</v>
      </c>
      <c r="F6" s="76">
        <v>100</v>
      </c>
      <c r="G6" s="76">
        <v>100</v>
      </c>
      <c r="H6" s="76">
        <v>100</v>
      </c>
      <c r="I6" s="85">
        <f>SUM(I8:I170)</f>
        <v>509553380.63165355</v>
      </c>
      <c r="J6" s="85">
        <f>SUM(J8:J170)</f>
        <v>499264130.88999999</v>
      </c>
      <c r="K6" s="85">
        <f t="shared" ref="K6:N6" si="0">SUM(K8:K170)</f>
        <v>536228804.51178551</v>
      </c>
      <c r="L6" s="85">
        <f t="shared" si="0"/>
        <v>525058785.40999997</v>
      </c>
      <c r="M6" s="85">
        <f t="shared" si="0"/>
        <v>553005548.94983041</v>
      </c>
      <c r="N6" s="85">
        <f t="shared" si="0"/>
        <v>541906718.63000035</v>
      </c>
      <c r="O6" s="86">
        <f>SUM(O8:O170)</f>
        <v>12241890.944659948</v>
      </c>
      <c r="P6" s="86">
        <f>SUM(P8:P170)</f>
        <v>12568392.58278949</v>
      </c>
      <c r="Q6" s="86">
        <f>SUM(Q8:Q170)</f>
        <v>12615791.849354342</v>
      </c>
      <c r="R6" s="86">
        <f>J6+O6</f>
        <v>511506021.83465993</v>
      </c>
      <c r="S6" s="86">
        <f>L6+P6</f>
        <v>537627177.99278951</v>
      </c>
      <c r="T6" s="86">
        <f t="shared" ref="T6" si="1">M6+Q6</f>
        <v>565621340.7991848</v>
      </c>
    </row>
    <row r="7" spans="1:20" ht="42" x14ac:dyDescent="0.3">
      <c r="A7" s="65"/>
      <c r="B7" s="66" t="s">
        <v>398</v>
      </c>
      <c r="C7" s="182"/>
      <c r="D7" s="182"/>
      <c r="E7" s="182"/>
      <c r="F7" s="171">
        <f>'B1 tâches de référence'!C21</f>
        <v>1753.8470459974426</v>
      </c>
      <c r="G7" s="171">
        <f>'B1 tâches de référence'!E21</f>
        <v>1801.8798723725522</v>
      </c>
      <c r="H7" s="171">
        <f>'B1 tâches de référence'!G21</f>
        <v>1820.7885123747576</v>
      </c>
      <c r="I7" s="138" t="s">
        <v>417</v>
      </c>
      <c r="J7" s="138" t="s">
        <v>415</v>
      </c>
      <c r="K7" s="138" t="s">
        <v>418</v>
      </c>
      <c r="L7" s="138" t="s">
        <v>415</v>
      </c>
      <c r="M7" s="138" t="s">
        <v>433</v>
      </c>
      <c r="N7" s="138" t="s">
        <v>415</v>
      </c>
      <c r="O7" s="181">
        <f>O6/C6</f>
        <v>43.004099318012379</v>
      </c>
      <c r="P7" s="181">
        <f>P6/D6</f>
        <v>43.131805908781857</v>
      </c>
      <c r="Q7" s="181">
        <f>Q6/E6</f>
        <v>42.388640118520613</v>
      </c>
      <c r="R7" s="87">
        <f>SUM(R8:R170)</f>
        <v>511506021.83465964</v>
      </c>
      <c r="S7" s="87">
        <f t="shared" ref="S7:T7" si="2">SUM(S8:S170)</f>
        <v>537627177.99278927</v>
      </c>
      <c r="T7" s="87">
        <f t="shared" si="2"/>
        <v>554522510.47935486</v>
      </c>
    </row>
    <row r="8" spans="1:20" x14ac:dyDescent="0.3">
      <c r="A8" s="47">
        <v>2004</v>
      </c>
      <c r="B8" s="48" t="s">
        <v>1</v>
      </c>
      <c r="C8" s="165">
        <v>374</v>
      </c>
      <c r="D8" s="73">
        <v>385</v>
      </c>
      <c r="E8" s="77">
        <v>406</v>
      </c>
      <c r="F8" s="73">
        <v>82.62</v>
      </c>
      <c r="G8" s="78">
        <v>95.53</v>
      </c>
      <c r="H8" s="67">
        <v>97.64</v>
      </c>
      <c r="I8" s="77">
        <f t="shared" ref="I8:I71" si="3">(C8*F8*$F$7)/100</f>
        <v>541936.63259675459</v>
      </c>
      <c r="J8" s="77">
        <f>I8*$J$171</f>
        <v>530993.47812287696</v>
      </c>
      <c r="K8" s="77">
        <f t="shared" ref="K8:K71" si="4">(D8*G8*$G$7)/100</f>
        <v>662714.29919983726</v>
      </c>
      <c r="L8" s="77">
        <f>K8*$L$171</f>
        <v>648909.49923608231</v>
      </c>
      <c r="M8" s="77">
        <f>(E8*H8*$H$7)/100</f>
        <v>721794.06881398172</v>
      </c>
      <c r="N8" s="77">
        <f>M8*$N$171</f>
        <v>707307.65016802144</v>
      </c>
      <c r="O8" s="77">
        <v>6475.0666147588981</v>
      </c>
      <c r="P8" s="70">
        <v>12194.042197025923</v>
      </c>
      <c r="Q8" s="70">
        <v>13558.552561874845</v>
      </c>
      <c r="R8" s="70">
        <f>J8+O8</f>
        <v>537468.54473763588</v>
      </c>
      <c r="S8" s="77">
        <f>L8+P8</f>
        <v>661103.54143310827</v>
      </c>
      <c r="T8" s="77">
        <f>N8+Q8</f>
        <v>720866.20272989629</v>
      </c>
    </row>
    <row r="9" spans="1:20" x14ac:dyDescent="0.3">
      <c r="A9" s="47">
        <v>2005</v>
      </c>
      <c r="B9" s="48" t="s">
        <v>3</v>
      </c>
      <c r="C9" s="165">
        <v>695</v>
      </c>
      <c r="D9" s="73">
        <v>710</v>
      </c>
      <c r="E9" s="77">
        <v>718</v>
      </c>
      <c r="F9" s="73">
        <v>97.81</v>
      </c>
      <c r="G9" s="78">
        <v>100.25</v>
      </c>
      <c r="H9" s="67">
        <v>99.54</v>
      </c>
      <c r="I9" s="77">
        <f t="shared" si="3"/>
        <v>1192229.2680046184</v>
      </c>
      <c r="J9" s="77">
        <f t="shared" ref="J9:J72" si="5">I9*$J$171</f>
        <v>1168154.9606717895</v>
      </c>
      <c r="K9" s="77">
        <f t="shared" si="4"/>
        <v>1282533.0461579734</v>
      </c>
      <c r="L9" s="77">
        <f t="shared" ref="L9:L72" si="6">K9*$L$171</f>
        <v>1255816.9904300475</v>
      </c>
      <c r="M9" s="77">
        <f t="shared" ref="M9:M72" si="7">(E9*H9*$H$7)/100</f>
        <v>1301312.4515864046</v>
      </c>
      <c r="N9" s="77">
        <f t="shared" ref="N9:N72" si="8">M9*$N$171</f>
        <v>1275195.0896165879</v>
      </c>
      <c r="O9" s="77">
        <v>24157.874976769053</v>
      </c>
      <c r="P9" s="70">
        <v>27085.138806197512</v>
      </c>
      <c r="Q9" s="70">
        <v>27214.853079590659</v>
      </c>
      <c r="R9" s="70">
        <f t="shared" ref="R9:R72" si="9">J9+O9</f>
        <v>1192312.8356485586</v>
      </c>
      <c r="S9" s="77">
        <f t="shared" ref="S9:S72" si="10">L9+P9</f>
        <v>1282902.1292362451</v>
      </c>
      <c r="T9" s="77">
        <f t="shared" ref="T9:T72" si="11">N9+Q9</f>
        <v>1302409.9426961786</v>
      </c>
    </row>
    <row r="10" spans="1:20" x14ac:dyDescent="0.3">
      <c r="A10" s="47">
        <v>2008</v>
      </c>
      <c r="B10" s="48" t="s">
        <v>4</v>
      </c>
      <c r="C10" s="165">
        <v>379</v>
      </c>
      <c r="D10" s="73">
        <v>405</v>
      </c>
      <c r="E10" s="77">
        <v>408</v>
      </c>
      <c r="F10" s="73">
        <v>82.56</v>
      </c>
      <c r="G10" s="78">
        <v>91.83</v>
      </c>
      <c r="H10" s="67">
        <v>91.91</v>
      </c>
      <c r="I10" s="77">
        <f t="shared" si="3"/>
        <v>548782.94992551021</v>
      </c>
      <c r="J10" s="77">
        <f t="shared" si="5"/>
        <v>537701.54993804405</v>
      </c>
      <c r="K10" s="77">
        <f t="shared" si="4"/>
        <v>670139.84615388443</v>
      </c>
      <c r="L10" s="77">
        <f t="shared" si="6"/>
        <v>656180.36688043922</v>
      </c>
      <c r="M10" s="77">
        <f t="shared" si="7"/>
        <v>682782.58246324491</v>
      </c>
      <c r="N10" s="77">
        <f t="shared" si="8"/>
        <v>669079.12497988681</v>
      </c>
      <c r="O10" s="77">
        <v>6344.9627594429758</v>
      </c>
      <c r="P10" s="70">
        <v>10066.683017696378</v>
      </c>
      <c r="Q10" s="70">
        <v>10787.502720927156</v>
      </c>
      <c r="R10" s="70">
        <f t="shared" si="9"/>
        <v>544046.51269748702</v>
      </c>
      <c r="S10" s="77">
        <f t="shared" si="10"/>
        <v>666247.04989813559</v>
      </c>
      <c r="T10" s="77">
        <f t="shared" si="11"/>
        <v>679866.62770081393</v>
      </c>
    </row>
    <row r="11" spans="1:20" x14ac:dyDescent="0.3">
      <c r="A11" s="47">
        <v>2009</v>
      </c>
      <c r="B11" s="48" t="s">
        <v>6</v>
      </c>
      <c r="C11" s="165">
        <v>357</v>
      </c>
      <c r="D11" s="73">
        <v>365</v>
      </c>
      <c r="E11" s="77">
        <v>371</v>
      </c>
      <c r="F11" s="73">
        <v>104.75</v>
      </c>
      <c r="G11" s="78">
        <v>91.6</v>
      </c>
      <c r="H11" s="67">
        <v>92.26</v>
      </c>
      <c r="I11" s="77">
        <f t="shared" si="3"/>
        <v>655864.25670358865</v>
      </c>
      <c r="J11" s="77">
        <f t="shared" si="5"/>
        <v>642620.59786360257</v>
      </c>
      <c r="K11" s="77">
        <f t="shared" si="4"/>
        <v>602440.51652903901</v>
      </c>
      <c r="L11" s="77">
        <f t="shared" si="6"/>
        <v>589891.261396343</v>
      </c>
      <c r="M11" s="77">
        <f t="shared" si="7"/>
        <v>623227.86764278891</v>
      </c>
      <c r="N11" s="77">
        <f t="shared" si="8"/>
        <v>610719.67424998712</v>
      </c>
      <c r="O11" s="77">
        <v>17452.071589819072</v>
      </c>
      <c r="P11" s="70">
        <v>9937.7332154201176</v>
      </c>
      <c r="Q11" s="70">
        <v>10316.981720941039</v>
      </c>
      <c r="R11" s="70">
        <f t="shared" si="9"/>
        <v>660072.66945342161</v>
      </c>
      <c r="S11" s="77">
        <f t="shared" si="10"/>
        <v>599828.99461176316</v>
      </c>
      <c r="T11" s="77">
        <f t="shared" si="11"/>
        <v>621036.65597092814</v>
      </c>
    </row>
    <row r="12" spans="1:20" x14ac:dyDescent="0.3">
      <c r="A12" s="47">
        <v>2010</v>
      </c>
      <c r="B12" s="48" t="s">
        <v>8</v>
      </c>
      <c r="C12" s="165">
        <v>1240</v>
      </c>
      <c r="D12" s="77">
        <v>1242</v>
      </c>
      <c r="E12" s="77">
        <v>1338</v>
      </c>
      <c r="F12" s="73">
        <v>78.930000000000007</v>
      </c>
      <c r="G12" s="78">
        <v>97.31</v>
      </c>
      <c r="H12" s="67">
        <v>96.09</v>
      </c>
      <c r="I12" s="77">
        <f t="shared" si="3"/>
        <v>1716546.2270231692</v>
      </c>
      <c r="J12" s="77">
        <f t="shared" si="5"/>
        <v>1681884.5536945763</v>
      </c>
      <c r="K12" s="77">
        <f t="shared" si="4"/>
        <v>2177734.3553267177</v>
      </c>
      <c r="L12" s="77">
        <f t="shared" si="6"/>
        <v>2132370.6334547428</v>
      </c>
      <c r="M12" s="77">
        <f t="shared" si="7"/>
        <v>2340959.0219017304</v>
      </c>
      <c r="N12" s="77">
        <f t="shared" si="8"/>
        <v>2293975.9364352222</v>
      </c>
      <c r="O12" s="77">
        <v>17575.41950882586</v>
      </c>
      <c r="P12" s="70">
        <v>41815.684423981038</v>
      </c>
      <c r="Q12" s="70">
        <v>42166.261966982354</v>
      </c>
      <c r="R12" s="70">
        <f t="shared" si="9"/>
        <v>1699459.973203402</v>
      </c>
      <c r="S12" s="77">
        <f t="shared" si="10"/>
        <v>2174186.3178787241</v>
      </c>
      <c r="T12" s="77">
        <f t="shared" si="11"/>
        <v>2336142.1984022046</v>
      </c>
    </row>
    <row r="13" spans="1:20" x14ac:dyDescent="0.3">
      <c r="A13" s="47">
        <v>2011</v>
      </c>
      <c r="B13" s="48" t="s">
        <v>10</v>
      </c>
      <c r="C13" s="165">
        <v>1444</v>
      </c>
      <c r="D13" s="77">
        <v>1496</v>
      </c>
      <c r="E13" s="77">
        <v>1510</v>
      </c>
      <c r="F13" s="73">
        <v>93.72</v>
      </c>
      <c r="G13" s="78">
        <v>101.41</v>
      </c>
      <c r="H13" s="67">
        <v>101.82</v>
      </c>
      <c r="I13" s="77">
        <f t="shared" si="3"/>
        <v>2373510.6719787116</v>
      </c>
      <c r="J13" s="77">
        <f t="shared" si="5"/>
        <v>2325583.1240578336</v>
      </c>
      <c r="K13" s="77">
        <f t="shared" si="4"/>
        <v>2733620.4223452155</v>
      </c>
      <c r="L13" s="77">
        <f t="shared" si="6"/>
        <v>2676677.2069160705</v>
      </c>
      <c r="M13" s="77">
        <f t="shared" si="7"/>
        <v>2799429.563582967</v>
      </c>
      <c r="N13" s="77">
        <f t="shared" si="8"/>
        <v>2743244.966922902</v>
      </c>
      <c r="O13" s="77">
        <v>43130.191815898412</v>
      </c>
      <c r="P13" s="70">
        <v>60614.006770046886</v>
      </c>
      <c r="Q13" s="70">
        <v>61905.638587634596</v>
      </c>
      <c r="R13" s="70">
        <f t="shared" si="9"/>
        <v>2368713.3158737319</v>
      </c>
      <c r="S13" s="77">
        <f t="shared" si="10"/>
        <v>2737291.2136861174</v>
      </c>
      <c r="T13" s="77">
        <f t="shared" si="11"/>
        <v>2805150.6055105366</v>
      </c>
    </row>
    <row r="14" spans="1:20" x14ac:dyDescent="0.3">
      <c r="A14" s="47">
        <v>2013</v>
      </c>
      <c r="B14" s="48" t="s">
        <v>12</v>
      </c>
      <c r="C14" s="165">
        <v>2825</v>
      </c>
      <c r="D14" s="77">
        <v>2884</v>
      </c>
      <c r="E14" s="77">
        <v>2936</v>
      </c>
      <c r="F14" s="73">
        <v>105.81</v>
      </c>
      <c r="G14" s="78">
        <v>111.68</v>
      </c>
      <c r="H14" s="67">
        <v>111.1</v>
      </c>
      <c r="I14" s="77">
        <f t="shared" si="3"/>
        <v>5242481.2052199505</v>
      </c>
      <c r="J14" s="77">
        <f t="shared" si="5"/>
        <v>5136621.4456015052</v>
      </c>
      <c r="K14" s="77">
        <f t="shared" si="4"/>
        <v>5803586.9491869817</v>
      </c>
      <c r="L14" s="77">
        <f t="shared" si="6"/>
        <v>5682694.194945042</v>
      </c>
      <c r="M14" s="77">
        <f t="shared" si="7"/>
        <v>5939222.7653611721</v>
      </c>
      <c r="N14" s="77">
        <f t="shared" si="8"/>
        <v>5820022.4683124404</v>
      </c>
      <c r="O14" s="77">
        <v>126884.64106096969</v>
      </c>
      <c r="P14" s="70">
        <v>170007.06815649295</v>
      </c>
      <c r="Q14" s="70">
        <v>171674.31840572914</v>
      </c>
      <c r="R14" s="70">
        <f t="shared" si="9"/>
        <v>5263506.086662475</v>
      </c>
      <c r="S14" s="77">
        <f t="shared" si="10"/>
        <v>5852701.2631015349</v>
      </c>
      <c r="T14" s="77">
        <f t="shared" si="11"/>
        <v>5991696.7867181692</v>
      </c>
    </row>
    <row r="15" spans="1:20" x14ac:dyDescent="0.3">
      <c r="A15" s="47">
        <v>2014</v>
      </c>
      <c r="B15" s="48" t="s">
        <v>14</v>
      </c>
      <c r="C15" s="165">
        <v>807</v>
      </c>
      <c r="D15" s="73">
        <v>911</v>
      </c>
      <c r="E15" s="77">
        <v>937</v>
      </c>
      <c r="F15" s="73">
        <v>96.46</v>
      </c>
      <c r="G15" s="78">
        <v>100.55</v>
      </c>
      <c r="H15" s="67">
        <v>99.06</v>
      </c>
      <c r="I15" s="77">
        <f t="shared" si="3"/>
        <v>1365251.0144792905</v>
      </c>
      <c r="J15" s="77">
        <f t="shared" si="5"/>
        <v>1337682.9339170344</v>
      </c>
      <c r="K15" s="77">
        <f t="shared" si="4"/>
        <v>1650540.8828319176</v>
      </c>
      <c r="L15" s="77">
        <f t="shared" si="6"/>
        <v>1616158.9678091011</v>
      </c>
      <c r="M15" s="77">
        <f t="shared" si="7"/>
        <v>1690041.6950358534</v>
      </c>
      <c r="N15" s="77">
        <f t="shared" si="8"/>
        <v>1656122.5308570089</v>
      </c>
      <c r="O15" s="77">
        <v>25651.760111863543</v>
      </c>
      <c r="P15" s="70">
        <v>31834.573581119279</v>
      </c>
      <c r="Q15" s="70">
        <v>30995.41626047148</v>
      </c>
      <c r="R15" s="70">
        <f t="shared" si="9"/>
        <v>1363334.6940288979</v>
      </c>
      <c r="S15" s="77">
        <f t="shared" si="10"/>
        <v>1647993.5413902204</v>
      </c>
      <c r="T15" s="77">
        <f t="shared" si="11"/>
        <v>1687117.9471174804</v>
      </c>
    </row>
    <row r="16" spans="1:20" s="60" customFormat="1" x14ac:dyDescent="0.3">
      <c r="A16" s="58">
        <v>2015</v>
      </c>
      <c r="B16" s="59" t="s">
        <v>16</v>
      </c>
      <c r="C16" s="166">
        <f>5435+356</f>
        <v>5791</v>
      </c>
      <c r="D16" s="79">
        <v>6011</v>
      </c>
      <c r="E16" s="79">
        <v>6094</v>
      </c>
      <c r="F16" s="81">
        <v>112.54</v>
      </c>
      <c r="G16" s="82">
        <v>107.85</v>
      </c>
      <c r="H16" s="67">
        <v>106.78</v>
      </c>
      <c r="I16" s="77">
        <f t="shared" si="3"/>
        <v>11430156.885089939</v>
      </c>
      <c r="J16" s="77">
        <f t="shared" si="5"/>
        <v>11199351.353722094</v>
      </c>
      <c r="K16" s="77">
        <f t="shared" si="4"/>
        <v>11681341.255988676</v>
      </c>
      <c r="L16" s="77">
        <f t="shared" si="6"/>
        <v>11438010.789840614</v>
      </c>
      <c r="M16" s="77">
        <f t="shared" si="7"/>
        <v>11848186.21059289</v>
      </c>
      <c r="N16" s="77">
        <f t="shared" si="8"/>
        <v>11610392.921540281</v>
      </c>
      <c r="O16" s="83">
        <f>349254+5675</f>
        <v>354929</v>
      </c>
      <c r="P16" s="70">
        <v>303925.04187060613</v>
      </c>
      <c r="Q16" s="70">
        <v>300292.07777047472</v>
      </c>
      <c r="R16" s="70">
        <f t="shared" si="9"/>
        <v>11554280.353722094</v>
      </c>
      <c r="S16" s="77">
        <f t="shared" si="10"/>
        <v>11741935.831711221</v>
      </c>
      <c r="T16" s="77">
        <f t="shared" si="11"/>
        <v>11910684.999310756</v>
      </c>
    </row>
    <row r="17" spans="1:20" x14ac:dyDescent="0.3">
      <c r="A17" s="47">
        <v>2016</v>
      </c>
      <c r="B17" s="48" t="s">
        <v>18</v>
      </c>
      <c r="C17" s="165">
        <v>862</v>
      </c>
      <c r="D17" s="73">
        <v>878</v>
      </c>
      <c r="E17" s="77">
        <v>896</v>
      </c>
      <c r="F17" s="80">
        <v>93.79</v>
      </c>
      <c r="G17" s="78">
        <v>107.47</v>
      </c>
      <c r="H17" s="67">
        <v>107.42</v>
      </c>
      <c r="I17" s="77">
        <f t="shared" si="3"/>
        <v>1417932.3705081432</v>
      </c>
      <c r="J17" s="77">
        <f t="shared" si="5"/>
        <v>1389300.5120385797</v>
      </c>
      <c r="K17" s="77">
        <f t="shared" si="4"/>
        <v>1700229.7023804507</v>
      </c>
      <c r="L17" s="77">
        <f t="shared" si="6"/>
        <v>1664812.7346733464</v>
      </c>
      <c r="M17" s="77">
        <f t="shared" si="7"/>
        <v>1752478.3539136965</v>
      </c>
      <c r="N17" s="77">
        <f t="shared" si="8"/>
        <v>1717306.0849804091</v>
      </c>
      <c r="O17" s="77">
        <v>25213.929630744035</v>
      </c>
      <c r="P17" s="70">
        <v>45052.146017298015</v>
      </c>
      <c r="Q17" s="70">
        <v>45780.286040064042</v>
      </c>
      <c r="R17" s="70">
        <f t="shared" si="9"/>
        <v>1414514.4416693237</v>
      </c>
      <c r="S17" s="77">
        <f t="shared" si="10"/>
        <v>1709864.8806906445</v>
      </c>
      <c r="T17" s="77">
        <f t="shared" si="11"/>
        <v>1763086.3710204731</v>
      </c>
    </row>
    <row r="18" spans="1:20" x14ac:dyDescent="0.3">
      <c r="A18" s="47">
        <v>2022</v>
      </c>
      <c r="B18" s="48" t="s">
        <v>22</v>
      </c>
      <c r="C18" s="165">
        <v>851</v>
      </c>
      <c r="D18" s="73">
        <v>911</v>
      </c>
      <c r="E18" s="77">
        <v>954</v>
      </c>
      <c r="F18" s="73">
        <v>85.81</v>
      </c>
      <c r="G18" s="78">
        <v>93.87</v>
      </c>
      <c r="H18" s="67">
        <v>94.57</v>
      </c>
      <c r="I18" s="77">
        <f t="shared" si="3"/>
        <v>1280734.7037950151</v>
      </c>
      <c r="J18" s="77">
        <f t="shared" si="5"/>
        <v>1254873.2342786826</v>
      </c>
      <c r="K18" s="77">
        <f t="shared" si="4"/>
        <v>1540887.8435746608</v>
      </c>
      <c r="L18" s="77">
        <f t="shared" si="6"/>
        <v>1508790.0776552993</v>
      </c>
      <c r="M18" s="77">
        <f t="shared" si="7"/>
        <v>1642711.390129779</v>
      </c>
      <c r="N18" s="77">
        <f t="shared" si="8"/>
        <v>1609742.1459366127</v>
      </c>
      <c r="O18" s="77">
        <v>16281.472601209047</v>
      </c>
      <c r="P18" s="70">
        <v>24777.888066842439</v>
      </c>
      <c r="Q18" s="70">
        <v>27150.245447419962</v>
      </c>
      <c r="R18" s="70">
        <f t="shared" si="9"/>
        <v>1271154.7068798917</v>
      </c>
      <c r="S18" s="77">
        <f t="shared" si="10"/>
        <v>1533567.9657221418</v>
      </c>
      <c r="T18" s="77">
        <f t="shared" si="11"/>
        <v>1636892.3913840328</v>
      </c>
    </row>
    <row r="19" spans="1:20" x14ac:dyDescent="0.3">
      <c r="A19" s="47">
        <v>2024</v>
      </c>
      <c r="B19" s="48" t="s">
        <v>24</v>
      </c>
      <c r="C19" s="165">
        <v>603</v>
      </c>
      <c r="D19" s="73">
        <v>629</v>
      </c>
      <c r="E19" s="77">
        <v>666</v>
      </c>
      <c r="F19" s="73">
        <v>89.18</v>
      </c>
      <c r="G19" s="78">
        <v>92.38</v>
      </c>
      <c r="H19" s="67">
        <v>92.58</v>
      </c>
      <c r="I19" s="77">
        <f t="shared" si="3"/>
        <v>943140.71975917311</v>
      </c>
      <c r="J19" s="77">
        <f t="shared" si="5"/>
        <v>924096.17844910373</v>
      </c>
      <c r="K19" s="77">
        <f t="shared" si="4"/>
        <v>1047018.6978154933</v>
      </c>
      <c r="L19" s="77">
        <f t="shared" si="6"/>
        <v>1025208.5698325816</v>
      </c>
      <c r="M19" s="77">
        <f t="shared" si="7"/>
        <v>1122666.8791678627</v>
      </c>
      <c r="N19" s="77">
        <f t="shared" si="8"/>
        <v>1100134.936728515</v>
      </c>
      <c r="O19" s="77">
        <v>15205.146103330051</v>
      </c>
      <c r="P19" s="70">
        <v>18175.108314168527</v>
      </c>
      <c r="Q19" s="70">
        <v>17669.190854179902</v>
      </c>
      <c r="R19" s="70">
        <f t="shared" si="9"/>
        <v>939301.3245524338</v>
      </c>
      <c r="S19" s="77">
        <f t="shared" si="10"/>
        <v>1043383.6781467501</v>
      </c>
      <c r="T19" s="77">
        <f t="shared" si="11"/>
        <v>1117804.1275826949</v>
      </c>
    </row>
    <row r="20" spans="1:20" x14ac:dyDescent="0.3">
      <c r="A20" s="47">
        <v>2025</v>
      </c>
      <c r="B20" s="48" t="s">
        <v>26</v>
      </c>
      <c r="C20" s="165">
        <v>1004</v>
      </c>
      <c r="D20" s="77">
        <v>1036</v>
      </c>
      <c r="E20" s="77">
        <v>1050</v>
      </c>
      <c r="F20" s="73">
        <v>96.51</v>
      </c>
      <c r="G20" s="78">
        <v>104.12</v>
      </c>
      <c r="H20" s="67">
        <v>104.61</v>
      </c>
      <c r="I20" s="77">
        <f t="shared" si="3"/>
        <v>1699408.3352285007</v>
      </c>
      <c r="J20" s="77">
        <f t="shared" si="5"/>
        <v>1665092.7219113284</v>
      </c>
      <c r="K20" s="77">
        <f t="shared" si="4"/>
        <v>1943657.5467464165</v>
      </c>
      <c r="L20" s="77">
        <f t="shared" si="6"/>
        <v>1903169.8076659804</v>
      </c>
      <c r="M20" s="77">
        <f t="shared" si="7"/>
        <v>1999963.2059349958</v>
      </c>
      <c r="N20" s="77">
        <f t="shared" si="8"/>
        <v>1959823.912015198</v>
      </c>
      <c r="O20" s="77">
        <v>31594.27071374817</v>
      </c>
      <c r="P20" s="70">
        <v>45348.719079825816</v>
      </c>
      <c r="Q20" s="70">
        <v>47957.569525124112</v>
      </c>
      <c r="R20" s="70">
        <f t="shared" si="9"/>
        <v>1696686.9926250766</v>
      </c>
      <c r="S20" s="77">
        <f t="shared" si="10"/>
        <v>1948518.5267458062</v>
      </c>
      <c r="T20" s="77">
        <f t="shared" si="11"/>
        <v>2007781.4815403221</v>
      </c>
    </row>
    <row r="21" spans="1:20" x14ac:dyDescent="0.3">
      <c r="A21" s="47">
        <v>2027</v>
      </c>
      <c r="B21" s="48" t="s">
        <v>28</v>
      </c>
      <c r="C21" s="165">
        <v>349</v>
      </c>
      <c r="D21" s="73">
        <v>340</v>
      </c>
      <c r="E21" s="77">
        <v>353</v>
      </c>
      <c r="F21" s="73">
        <v>96.57</v>
      </c>
      <c r="G21" s="78">
        <v>108.21</v>
      </c>
      <c r="H21" s="67">
        <v>108.97</v>
      </c>
      <c r="I21" s="77">
        <f t="shared" si="3"/>
        <v>591097.8422195859</v>
      </c>
      <c r="J21" s="77">
        <f t="shared" si="5"/>
        <v>579161.99103788927</v>
      </c>
      <c r="K21" s="77">
        <f t="shared" si="4"/>
        <v>662936.83136407519</v>
      </c>
      <c r="L21" s="77">
        <f t="shared" si="6"/>
        <v>649127.39590050292</v>
      </c>
      <c r="M21" s="77">
        <f t="shared" si="7"/>
        <v>700391.97440297494</v>
      </c>
      <c r="N21" s="77">
        <f t="shared" si="8"/>
        <v>686335.09613831434</v>
      </c>
      <c r="O21" s="77">
        <v>11252.218841796877</v>
      </c>
      <c r="P21" s="70">
        <v>17912.331684252094</v>
      </c>
      <c r="Q21" s="70">
        <v>19628.35366061961</v>
      </c>
      <c r="R21" s="70">
        <f t="shared" si="9"/>
        <v>590414.20987968612</v>
      </c>
      <c r="S21" s="77">
        <f t="shared" si="10"/>
        <v>667039.72758475505</v>
      </c>
      <c r="T21" s="77">
        <f t="shared" si="11"/>
        <v>705963.44979893393</v>
      </c>
    </row>
    <row r="22" spans="1:20" x14ac:dyDescent="0.3">
      <c r="A22" s="47">
        <v>2029</v>
      </c>
      <c r="B22" s="48" t="s">
        <v>30</v>
      </c>
      <c r="C22" s="165">
        <v>2083</v>
      </c>
      <c r="D22" s="77">
        <v>2103</v>
      </c>
      <c r="E22" s="77">
        <v>2204</v>
      </c>
      <c r="F22" s="73">
        <v>94.77</v>
      </c>
      <c r="G22" s="78">
        <v>100.91</v>
      </c>
      <c r="H22" s="67">
        <v>101.74</v>
      </c>
      <c r="I22" s="77">
        <f t="shared" si="3"/>
        <v>3462197.7211593702</v>
      </c>
      <c r="J22" s="77">
        <f t="shared" si="5"/>
        <v>3392286.6610780237</v>
      </c>
      <c r="K22" s="77">
        <f t="shared" si="4"/>
        <v>3823836.4872810324</v>
      </c>
      <c r="L22" s="77">
        <f t="shared" si="6"/>
        <v>3744183.3126554694</v>
      </c>
      <c r="M22" s="77">
        <f t="shared" si="7"/>
        <v>4082844.3924081326</v>
      </c>
      <c r="N22" s="77">
        <f t="shared" si="8"/>
        <v>4000901.6393568073</v>
      </c>
      <c r="O22" s="77">
        <v>66290.779704018423</v>
      </c>
      <c r="P22" s="70">
        <v>85723.072399125012</v>
      </c>
      <c r="Q22" s="70">
        <v>89019.847716143297</v>
      </c>
      <c r="R22" s="70">
        <f t="shared" si="9"/>
        <v>3458577.4407820422</v>
      </c>
      <c r="S22" s="77">
        <f t="shared" si="10"/>
        <v>3829906.3850545944</v>
      </c>
      <c r="T22" s="77">
        <f t="shared" si="11"/>
        <v>4089921.4870729507</v>
      </c>
    </row>
    <row r="23" spans="1:20" x14ac:dyDescent="0.3">
      <c r="A23" s="47">
        <v>2033</v>
      </c>
      <c r="B23" s="48" t="s">
        <v>33</v>
      </c>
      <c r="C23" s="165">
        <v>142</v>
      </c>
      <c r="D23" s="73">
        <v>137</v>
      </c>
      <c r="E23" s="77">
        <v>142</v>
      </c>
      <c r="F23" s="73">
        <v>85.35</v>
      </c>
      <c r="G23" s="78">
        <v>105.88</v>
      </c>
      <c r="H23" s="67">
        <v>109.25</v>
      </c>
      <c r="I23" s="77">
        <f t="shared" si="3"/>
        <v>212561.00043375202</v>
      </c>
      <c r="J23" s="77">
        <f t="shared" si="5"/>
        <v>208268.82359432563</v>
      </c>
      <c r="K23" s="77">
        <f t="shared" si="4"/>
        <v>261372.76601492398</v>
      </c>
      <c r="L23" s="77">
        <f t="shared" si="6"/>
        <v>255928.18943770826</v>
      </c>
      <c r="M23" s="77">
        <f t="shared" si="7"/>
        <v>282468.02586725802</v>
      </c>
      <c r="N23" s="77">
        <f t="shared" si="8"/>
        <v>276798.88801532926</v>
      </c>
      <c r="O23" s="77">
        <v>3242.1250882337072</v>
      </c>
      <c r="P23" s="70">
        <v>7573.9426264261529</v>
      </c>
      <c r="Q23" s="70">
        <v>8068.7223401133306</v>
      </c>
      <c r="R23" s="70">
        <f t="shared" si="9"/>
        <v>211510.94868255933</v>
      </c>
      <c r="S23" s="77">
        <f t="shared" si="10"/>
        <v>263502.13206413441</v>
      </c>
      <c r="T23" s="77">
        <f t="shared" si="11"/>
        <v>284867.61035544256</v>
      </c>
    </row>
    <row r="24" spans="1:20" x14ac:dyDescent="0.3">
      <c r="A24" s="47">
        <v>2034</v>
      </c>
      <c r="B24" s="48" t="s">
        <v>35</v>
      </c>
      <c r="C24" s="165">
        <v>584</v>
      </c>
      <c r="D24" s="73">
        <v>595</v>
      </c>
      <c r="E24" s="77">
        <v>612</v>
      </c>
      <c r="F24" s="73">
        <v>96.34</v>
      </c>
      <c r="G24" s="78">
        <v>101.45</v>
      </c>
      <c r="H24" s="67">
        <v>101.93</v>
      </c>
      <c r="I24" s="77">
        <f t="shared" si="3"/>
        <v>986759.2465625389</v>
      </c>
      <c r="J24" s="77">
        <f t="shared" si="5"/>
        <v>966833.93018021609</v>
      </c>
      <c r="K24" s="77">
        <f t="shared" si="4"/>
        <v>1087664.2426605627</v>
      </c>
      <c r="L24" s="77">
        <f t="shared" si="6"/>
        <v>1065007.4396976761</v>
      </c>
      <c r="M24" s="77">
        <f t="shared" si="7"/>
        <v>1135828.9951661173</v>
      </c>
      <c r="N24" s="77">
        <f t="shared" si="8"/>
        <v>1113032.8888456079</v>
      </c>
      <c r="O24" s="77">
        <v>19194.862307354066</v>
      </c>
      <c r="P24" s="70">
        <v>24249.603877246434</v>
      </c>
      <c r="Q24" s="70">
        <v>25144.996982656321</v>
      </c>
      <c r="R24" s="70">
        <f t="shared" si="9"/>
        <v>986028.7924875702</v>
      </c>
      <c r="S24" s="77">
        <f t="shared" si="10"/>
        <v>1089257.0435749225</v>
      </c>
      <c r="T24" s="77">
        <f t="shared" si="11"/>
        <v>1138177.8858282643</v>
      </c>
    </row>
    <row r="25" spans="1:20" x14ac:dyDescent="0.3">
      <c r="A25" s="47">
        <v>2035</v>
      </c>
      <c r="B25" s="48" t="s">
        <v>37</v>
      </c>
      <c r="C25" s="165">
        <v>376</v>
      </c>
      <c r="D25" s="73">
        <v>388</v>
      </c>
      <c r="E25" s="77">
        <v>394</v>
      </c>
      <c r="F25" s="73">
        <v>93.64</v>
      </c>
      <c r="G25" s="78">
        <v>111.56</v>
      </c>
      <c r="H25" s="67">
        <v>110.28</v>
      </c>
      <c r="I25" s="77">
        <f t="shared" si="3"/>
        <v>617505.69257587392</v>
      </c>
      <c r="J25" s="77">
        <f t="shared" si="5"/>
        <v>605036.59605073696</v>
      </c>
      <c r="K25" s="77">
        <f t="shared" si="4"/>
        <v>779948.7480201018</v>
      </c>
      <c r="L25" s="77">
        <f t="shared" si="6"/>
        <v>763701.87291660882</v>
      </c>
      <c r="M25" s="77">
        <f t="shared" si="7"/>
        <v>791138.43515007186</v>
      </c>
      <c r="N25" s="77">
        <f t="shared" si="8"/>
        <v>775260.27394915535</v>
      </c>
      <c r="O25" s="77">
        <v>10715.07663015138</v>
      </c>
      <c r="P25" s="70">
        <v>23242.773177620169</v>
      </c>
      <c r="Q25" s="70">
        <v>22182.246064214025</v>
      </c>
      <c r="R25" s="70">
        <f t="shared" si="9"/>
        <v>615751.67268088832</v>
      </c>
      <c r="S25" s="77">
        <f t="shared" si="10"/>
        <v>786944.64609422896</v>
      </c>
      <c r="T25" s="77">
        <f t="shared" si="11"/>
        <v>797442.52001336939</v>
      </c>
    </row>
    <row r="26" spans="1:20" x14ac:dyDescent="0.3">
      <c r="A26" s="47">
        <v>2038</v>
      </c>
      <c r="B26" s="48" t="s">
        <v>39</v>
      </c>
      <c r="C26" s="165">
        <v>64</v>
      </c>
      <c r="D26" s="73">
        <v>65</v>
      </c>
      <c r="E26" s="77">
        <v>64</v>
      </c>
      <c r="F26" s="73">
        <v>100.06</v>
      </c>
      <c r="G26" s="78">
        <v>116.91</v>
      </c>
      <c r="H26" s="67">
        <v>121.49</v>
      </c>
      <c r="I26" s="77">
        <f t="shared" si="3"/>
        <v>112313.55867040264</v>
      </c>
      <c r="J26" s="77">
        <f t="shared" si="5"/>
        <v>110045.64661553391</v>
      </c>
      <c r="K26" s="77">
        <f t="shared" si="4"/>
        <v>136927.55432139878</v>
      </c>
      <c r="L26" s="77">
        <f t="shared" si="6"/>
        <v>134075.25809176348</v>
      </c>
      <c r="M26" s="77">
        <f t="shared" si="7"/>
        <v>141572.86167578195</v>
      </c>
      <c r="N26" s="77">
        <f t="shared" si="8"/>
        <v>138731.49205007707</v>
      </c>
      <c r="O26" s="77">
        <v>2521.7775718464422</v>
      </c>
      <c r="P26" s="70">
        <v>4760.2219602801724</v>
      </c>
      <c r="Q26" s="70">
        <v>5561.2541918761181</v>
      </c>
      <c r="R26" s="70">
        <f t="shared" si="9"/>
        <v>112567.42418738035</v>
      </c>
      <c r="S26" s="77">
        <f t="shared" si="10"/>
        <v>138835.48005204365</v>
      </c>
      <c r="T26" s="77">
        <f t="shared" si="11"/>
        <v>144292.74624195319</v>
      </c>
    </row>
    <row r="27" spans="1:20" x14ac:dyDescent="0.3">
      <c r="A27" s="47">
        <v>2039</v>
      </c>
      <c r="B27" s="48" t="s">
        <v>41</v>
      </c>
      <c r="C27" s="165">
        <v>349</v>
      </c>
      <c r="D27" s="73">
        <v>362</v>
      </c>
      <c r="E27" s="77">
        <v>376</v>
      </c>
      <c r="F27" s="73">
        <v>90.58</v>
      </c>
      <c r="G27" s="78">
        <v>86.82</v>
      </c>
      <c r="H27" s="67">
        <v>88.37</v>
      </c>
      <c r="I27" s="77">
        <f t="shared" si="3"/>
        <v>554433.49433830474</v>
      </c>
      <c r="J27" s="77">
        <f t="shared" si="5"/>
        <v>543237.99470034172</v>
      </c>
      <c r="K27" s="77">
        <f t="shared" si="4"/>
        <v>566309.94208017353</v>
      </c>
      <c r="L27" s="77">
        <f t="shared" si="6"/>
        <v>554513.3119526183</v>
      </c>
      <c r="M27" s="77">
        <f t="shared" si="7"/>
        <v>604995.58395297558</v>
      </c>
      <c r="N27" s="77">
        <f t="shared" si="8"/>
        <v>592853.31278898427</v>
      </c>
      <c r="O27" s="77">
        <v>8602.0800146439778</v>
      </c>
      <c r="P27" s="70">
        <v>7353.7543172681744</v>
      </c>
      <c r="Q27" s="70">
        <v>8489.3705583950486</v>
      </c>
      <c r="R27" s="70">
        <f t="shared" si="9"/>
        <v>551840.07471498568</v>
      </c>
      <c r="S27" s="77">
        <f t="shared" si="10"/>
        <v>561867.06626988645</v>
      </c>
      <c r="T27" s="77">
        <f t="shared" si="11"/>
        <v>601342.68334737932</v>
      </c>
    </row>
    <row r="28" spans="1:20" x14ac:dyDescent="0.3">
      <c r="A28" s="47">
        <v>2040</v>
      </c>
      <c r="B28" s="48" t="s">
        <v>43</v>
      </c>
      <c r="C28" s="165">
        <v>212</v>
      </c>
      <c r="D28" s="73">
        <v>211</v>
      </c>
      <c r="E28" s="77">
        <v>229</v>
      </c>
      <c r="F28" s="73">
        <v>102.64</v>
      </c>
      <c r="G28" s="78">
        <v>87.14</v>
      </c>
      <c r="H28" s="67">
        <v>87.16</v>
      </c>
      <c r="I28" s="77">
        <f t="shared" si="3"/>
        <v>381631.50489849632</v>
      </c>
      <c r="J28" s="77">
        <f t="shared" si="5"/>
        <v>373925.34100588103</v>
      </c>
      <c r="K28" s="77">
        <f t="shared" si="4"/>
        <v>331303.36348572827</v>
      </c>
      <c r="L28" s="77">
        <f t="shared" si="6"/>
        <v>324402.08390603331</v>
      </c>
      <c r="M28" s="77">
        <f t="shared" si="7"/>
        <v>363422.832231357</v>
      </c>
      <c r="N28" s="77">
        <f t="shared" si="8"/>
        <v>356128.9301051526</v>
      </c>
      <c r="O28" s="77">
        <v>9307.0083262395419</v>
      </c>
      <c r="P28" s="70">
        <v>4850.8022394144891</v>
      </c>
      <c r="Q28" s="70">
        <v>4880.1749471795283</v>
      </c>
      <c r="R28" s="70">
        <f t="shared" si="9"/>
        <v>383232.34933212056</v>
      </c>
      <c r="S28" s="77">
        <f t="shared" si="10"/>
        <v>329252.88614544779</v>
      </c>
      <c r="T28" s="77">
        <f t="shared" si="11"/>
        <v>361009.1050523321</v>
      </c>
    </row>
    <row r="29" spans="1:20" x14ac:dyDescent="0.3">
      <c r="A29" s="47">
        <v>2041</v>
      </c>
      <c r="B29" s="48" t="s">
        <v>45</v>
      </c>
      <c r="C29" s="165">
        <v>1445</v>
      </c>
      <c r="D29" s="77">
        <v>1526</v>
      </c>
      <c r="E29" s="77">
        <v>1557</v>
      </c>
      <c r="F29" s="73">
        <v>100.73</v>
      </c>
      <c r="G29" s="78">
        <v>97.93</v>
      </c>
      <c r="H29" s="67">
        <v>98.49</v>
      </c>
      <c r="I29" s="77">
        <f t="shared" si="3"/>
        <v>2552809.4370310088</v>
      </c>
      <c r="J29" s="77">
        <f t="shared" si="5"/>
        <v>2501261.3660361669</v>
      </c>
      <c r="K29" s="77">
        <f t="shared" si="4"/>
        <v>2692750.5434560366</v>
      </c>
      <c r="L29" s="77">
        <f t="shared" si="6"/>
        <v>2636658.6760410951</v>
      </c>
      <c r="M29" s="77">
        <f t="shared" si="7"/>
        <v>2792159.7012896086</v>
      </c>
      <c r="N29" s="77">
        <f t="shared" si="8"/>
        <v>2736121.0108834608</v>
      </c>
      <c r="O29" s="77">
        <v>57432.269223383963</v>
      </c>
      <c r="P29" s="70">
        <v>51745.210744091703</v>
      </c>
      <c r="Q29" s="70">
        <v>54233.426061172278</v>
      </c>
      <c r="R29" s="70">
        <f t="shared" si="9"/>
        <v>2558693.635259551</v>
      </c>
      <c r="S29" s="77">
        <f t="shared" si="10"/>
        <v>2688403.8867851868</v>
      </c>
      <c r="T29" s="77">
        <f t="shared" si="11"/>
        <v>2790354.4369446333</v>
      </c>
    </row>
    <row r="30" spans="1:20" x14ac:dyDescent="0.3">
      <c r="A30" s="47">
        <v>2043</v>
      </c>
      <c r="B30" s="48" t="s">
        <v>47</v>
      </c>
      <c r="C30" s="165">
        <v>249</v>
      </c>
      <c r="D30" s="73">
        <v>249</v>
      </c>
      <c r="E30" s="77">
        <v>255</v>
      </c>
      <c r="F30" s="73">
        <v>72.7</v>
      </c>
      <c r="G30" s="78">
        <v>123.33</v>
      </c>
      <c r="H30" s="67">
        <v>122.21</v>
      </c>
      <c r="I30" s="77">
        <f t="shared" si="3"/>
        <v>317486.65380759502</v>
      </c>
      <c r="J30" s="77">
        <f t="shared" si="5"/>
        <v>311075.74654088478</v>
      </c>
      <c r="K30" s="77">
        <f t="shared" si="4"/>
        <v>553342.35320267011</v>
      </c>
      <c r="L30" s="77">
        <f t="shared" si="6"/>
        <v>541815.84697418008</v>
      </c>
      <c r="M30" s="77">
        <f t="shared" si="7"/>
        <v>567422.33844816382</v>
      </c>
      <c r="N30" s="77">
        <f t="shared" si="8"/>
        <v>556034.16292971373</v>
      </c>
      <c r="O30" s="77">
        <v>2744.0813665797232</v>
      </c>
      <c r="P30" s="70">
        <v>23393.486178563664</v>
      </c>
      <c r="Q30" s="70">
        <v>22154.245672523597</v>
      </c>
      <c r="R30" s="70">
        <f t="shared" si="9"/>
        <v>313819.82790746453</v>
      </c>
      <c r="S30" s="77">
        <f t="shared" si="10"/>
        <v>565209.33315274375</v>
      </c>
      <c r="T30" s="77">
        <f t="shared" si="11"/>
        <v>578188.40860223735</v>
      </c>
    </row>
    <row r="31" spans="1:20" x14ac:dyDescent="0.3">
      <c r="A31" s="47">
        <v>2044</v>
      </c>
      <c r="B31" s="48" t="s">
        <v>49</v>
      </c>
      <c r="C31" s="165">
        <v>305</v>
      </c>
      <c r="D31" s="73">
        <v>311</v>
      </c>
      <c r="E31" s="77">
        <v>325</v>
      </c>
      <c r="F31" s="73">
        <v>103.92</v>
      </c>
      <c r="G31" s="78">
        <v>92.93</v>
      </c>
      <c r="H31" s="67">
        <v>93.18</v>
      </c>
      <c r="I31" s="77">
        <f t="shared" si="3"/>
        <v>555892.34431116539</v>
      </c>
      <c r="J31" s="77">
        <f t="shared" si="5"/>
        <v>544667.38657857105</v>
      </c>
      <c r="K31" s="77">
        <f t="shared" si="4"/>
        <v>520765.44623809785</v>
      </c>
      <c r="L31" s="77">
        <f t="shared" si="6"/>
        <v>509917.53964843677</v>
      </c>
      <c r="M31" s="77">
        <f t="shared" si="7"/>
        <v>551398.48914500978</v>
      </c>
      <c r="N31" s="77">
        <f t="shared" si="8"/>
        <v>540331.91254147829</v>
      </c>
      <c r="O31" s="77">
        <v>14344.040507477384</v>
      </c>
      <c r="P31" s="70">
        <v>9170.1691001695217</v>
      </c>
      <c r="Q31" s="70">
        <v>9171.097439291505</v>
      </c>
      <c r="R31" s="70">
        <f t="shared" si="9"/>
        <v>559011.42708604841</v>
      </c>
      <c r="S31" s="77">
        <f t="shared" si="10"/>
        <v>519087.70874860627</v>
      </c>
      <c r="T31" s="77">
        <f t="shared" si="11"/>
        <v>549503.00998076983</v>
      </c>
    </row>
    <row r="32" spans="1:20" x14ac:dyDescent="0.3">
      <c r="A32" s="47">
        <v>2045</v>
      </c>
      <c r="B32" s="48" t="s">
        <v>51</v>
      </c>
      <c r="C32" s="165">
        <v>332</v>
      </c>
      <c r="D32" s="73">
        <v>351</v>
      </c>
      <c r="E32" s="77">
        <v>382</v>
      </c>
      <c r="F32" s="73">
        <v>89.66</v>
      </c>
      <c r="G32" s="78">
        <v>105.82</v>
      </c>
      <c r="H32" s="67">
        <v>104.28</v>
      </c>
      <c r="I32" s="77">
        <f t="shared" si="3"/>
        <v>522069.75479851395</v>
      </c>
      <c r="J32" s="77">
        <f t="shared" si="5"/>
        <v>511527.76588456176</v>
      </c>
      <c r="K32" s="77">
        <f t="shared" si="4"/>
        <v>669268.9976115668</v>
      </c>
      <c r="L32" s="77">
        <f t="shared" si="6"/>
        <v>655327.6587191876</v>
      </c>
      <c r="M32" s="77">
        <f t="shared" si="7"/>
        <v>725310.37558907969</v>
      </c>
      <c r="N32" s="77">
        <f t="shared" si="8"/>
        <v>710753.38460921904</v>
      </c>
      <c r="O32" s="77">
        <v>8154.6674483312427</v>
      </c>
      <c r="P32" s="70">
        <v>16837.946470494349</v>
      </c>
      <c r="Q32" s="70">
        <v>15659.31706180378</v>
      </c>
      <c r="R32" s="70">
        <f t="shared" si="9"/>
        <v>519682.43333289301</v>
      </c>
      <c r="S32" s="77">
        <f t="shared" si="10"/>
        <v>672165.60518968198</v>
      </c>
      <c r="T32" s="77">
        <f t="shared" si="11"/>
        <v>726412.70167102281</v>
      </c>
    </row>
    <row r="33" spans="1:20" x14ac:dyDescent="0.3">
      <c r="A33" s="47">
        <v>2047</v>
      </c>
      <c r="B33" s="48" t="s">
        <v>53</v>
      </c>
      <c r="C33" s="165">
        <v>322</v>
      </c>
      <c r="D33" s="73">
        <v>347</v>
      </c>
      <c r="E33" s="77">
        <v>375</v>
      </c>
      <c r="F33" s="73">
        <v>100.12</v>
      </c>
      <c r="G33" s="78">
        <v>97.38</v>
      </c>
      <c r="H33" s="67">
        <v>96.63</v>
      </c>
      <c r="I33" s="77">
        <f t="shared" si="3"/>
        <v>565416.43530975003</v>
      </c>
      <c r="J33" s="77">
        <f t="shared" si="5"/>
        <v>553999.16062946874</v>
      </c>
      <c r="K33" s="77">
        <f t="shared" si="4"/>
        <v>608870.70504158782</v>
      </c>
      <c r="L33" s="77">
        <f t="shared" si="6"/>
        <v>596187.50460810051</v>
      </c>
      <c r="M33" s="77">
        <f t="shared" si="7"/>
        <v>659785.47731539805</v>
      </c>
      <c r="N33" s="77">
        <f t="shared" si="8"/>
        <v>646543.57210464904</v>
      </c>
      <c r="O33" s="77">
        <v>12197.790826386517</v>
      </c>
      <c r="P33" s="70">
        <v>11893.422460790418</v>
      </c>
      <c r="Q33" s="70">
        <v>11197.844536324992</v>
      </c>
      <c r="R33" s="70">
        <f t="shared" si="9"/>
        <v>566196.95145585528</v>
      </c>
      <c r="S33" s="77">
        <f t="shared" si="10"/>
        <v>608080.92706889089</v>
      </c>
      <c r="T33" s="77">
        <f t="shared" si="11"/>
        <v>657741.416640974</v>
      </c>
    </row>
    <row r="34" spans="1:20" x14ac:dyDescent="0.3">
      <c r="A34" s="47">
        <v>2049</v>
      </c>
      <c r="B34" s="48" t="s">
        <v>55</v>
      </c>
      <c r="C34" s="165">
        <v>204</v>
      </c>
      <c r="D34" s="73">
        <v>228</v>
      </c>
      <c r="E34" s="77">
        <v>253</v>
      </c>
      <c r="F34" s="73">
        <v>98.5</v>
      </c>
      <c r="G34" s="78">
        <v>86.02</v>
      </c>
      <c r="H34" s="67">
        <v>86.24</v>
      </c>
      <c r="I34" s="77">
        <f t="shared" si="3"/>
        <v>352418.02542272612</v>
      </c>
      <c r="J34" s="77">
        <f t="shared" si="5"/>
        <v>345301.76005217782</v>
      </c>
      <c r="K34" s="77">
        <f t="shared" si="4"/>
        <v>353394.77109699021</v>
      </c>
      <c r="L34" s="77">
        <f t="shared" si="6"/>
        <v>346033.31212572416</v>
      </c>
      <c r="M34" s="77">
        <f t="shared" si="7"/>
        <v>397272.74730721372</v>
      </c>
      <c r="N34" s="77">
        <f t="shared" si="8"/>
        <v>389299.47683745285</v>
      </c>
      <c r="O34" s="77">
        <v>6803.7403460918804</v>
      </c>
      <c r="P34" s="70">
        <v>3986.1190935844065</v>
      </c>
      <c r="Q34" s="70">
        <v>4500.8630918021563</v>
      </c>
      <c r="R34" s="70">
        <f t="shared" si="9"/>
        <v>352105.50039826968</v>
      </c>
      <c r="S34" s="77">
        <f t="shared" si="10"/>
        <v>350019.43121930858</v>
      </c>
      <c r="T34" s="77">
        <f t="shared" si="11"/>
        <v>393800.33992925502</v>
      </c>
    </row>
    <row r="35" spans="1:20" x14ac:dyDescent="0.3">
      <c r="A35" s="47">
        <v>2050</v>
      </c>
      <c r="B35" s="48" t="s">
        <v>31</v>
      </c>
      <c r="C35" s="165">
        <v>1335</v>
      </c>
      <c r="D35" s="77">
        <v>1333</v>
      </c>
      <c r="E35" s="77">
        <v>1358</v>
      </c>
      <c r="F35" s="73">
        <v>99.03</v>
      </c>
      <c r="G35" s="78">
        <v>87.91</v>
      </c>
      <c r="H35" s="67">
        <v>89.93</v>
      </c>
      <c r="I35" s="77">
        <f t="shared" si="3"/>
        <v>2318674.3640844417</v>
      </c>
      <c r="J35" s="77">
        <f t="shared" si="5"/>
        <v>2271854.1083301567</v>
      </c>
      <c r="K35" s="77">
        <f t="shared" si="4"/>
        <v>2111515.4502050132</v>
      </c>
      <c r="L35" s="77">
        <f t="shared" si="6"/>
        <v>2067531.1142013192</v>
      </c>
      <c r="M35" s="77">
        <f t="shared" si="7"/>
        <v>2223636.8782645655</v>
      </c>
      <c r="N35" s="77">
        <f t="shared" si="8"/>
        <v>2179008.4501201408</v>
      </c>
      <c r="O35" s="77">
        <v>47353.755455756502</v>
      </c>
      <c r="P35" s="70">
        <v>30412.972017455137</v>
      </c>
      <c r="Q35" s="70">
        <v>34828.140135975453</v>
      </c>
      <c r="R35" s="70">
        <f t="shared" si="9"/>
        <v>2319207.8637859132</v>
      </c>
      <c r="S35" s="77">
        <f t="shared" si="10"/>
        <v>2097944.0862187743</v>
      </c>
      <c r="T35" s="77">
        <f t="shared" si="11"/>
        <v>2213836.5902561164</v>
      </c>
    </row>
    <row r="36" spans="1:20" x14ac:dyDescent="0.3">
      <c r="A36" s="47">
        <v>2051</v>
      </c>
      <c r="B36" s="48" t="s">
        <v>310</v>
      </c>
      <c r="C36" s="165">
        <v>919</v>
      </c>
      <c r="D36" s="73">
        <v>971</v>
      </c>
      <c r="E36" s="77">
        <v>1016</v>
      </c>
      <c r="F36" s="73">
        <v>87.99</v>
      </c>
      <c r="G36" s="78">
        <v>82.8</v>
      </c>
      <c r="H36" s="67">
        <v>82.62</v>
      </c>
      <c r="I36" s="77">
        <f t="shared" si="3"/>
        <v>1418210.0044955246</v>
      </c>
      <c r="J36" s="77">
        <f t="shared" si="5"/>
        <v>1389572.5398509428</v>
      </c>
      <c r="K36" s="77">
        <f t="shared" si="4"/>
        <v>1448689.7948290634</v>
      </c>
      <c r="L36" s="77">
        <f t="shared" si="6"/>
        <v>1418512.5784157536</v>
      </c>
      <c r="M36" s="77">
        <f t="shared" si="7"/>
        <v>1528404.8364268092</v>
      </c>
      <c r="N36" s="77">
        <f t="shared" si="8"/>
        <v>1497729.7266169291</v>
      </c>
      <c r="O36" s="77">
        <v>20752.795308946515</v>
      </c>
      <c r="P36" s="70">
        <v>17185.80143524921</v>
      </c>
      <c r="Q36" s="70">
        <v>17079.962696404993</v>
      </c>
      <c r="R36" s="70">
        <f t="shared" si="9"/>
        <v>1410325.3351598894</v>
      </c>
      <c r="S36" s="77">
        <f t="shared" si="10"/>
        <v>1435698.3798510027</v>
      </c>
      <c r="T36" s="77">
        <f t="shared" si="11"/>
        <v>1514809.6893133339</v>
      </c>
    </row>
    <row r="37" spans="1:20" x14ac:dyDescent="0.3">
      <c r="A37" s="47">
        <v>2052</v>
      </c>
      <c r="B37" s="48" t="s">
        <v>311</v>
      </c>
      <c r="C37" s="165">
        <v>1042</v>
      </c>
      <c r="D37" s="77">
        <v>1068</v>
      </c>
      <c r="E37" s="77">
        <v>1067</v>
      </c>
      <c r="F37" s="73">
        <v>102.05</v>
      </c>
      <c r="G37" s="78">
        <v>105.07</v>
      </c>
      <c r="H37" s="67">
        <v>104.05</v>
      </c>
      <c r="I37" s="77">
        <f t="shared" si="3"/>
        <v>1864972.5486788864</v>
      </c>
      <c r="J37" s="77">
        <f t="shared" si="5"/>
        <v>1827313.749730486</v>
      </c>
      <c r="K37" s="77">
        <f t="shared" si="4"/>
        <v>2021975.1742711656</v>
      </c>
      <c r="L37" s="77">
        <f t="shared" si="6"/>
        <v>1979856.0245165967</v>
      </c>
      <c r="M37" s="77">
        <f t="shared" si="7"/>
        <v>2021463.9870833727</v>
      </c>
      <c r="N37" s="77">
        <f t="shared" si="8"/>
        <v>1980893.1721378586</v>
      </c>
      <c r="O37" s="77">
        <v>44218.297016064374</v>
      </c>
      <c r="P37" s="70">
        <v>50230.687817369682</v>
      </c>
      <c r="Q37" s="70">
        <v>48715.448027642153</v>
      </c>
      <c r="R37" s="70">
        <f t="shared" si="9"/>
        <v>1871532.0467465504</v>
      </c>
      <c r="S37" s="77">
        <f t="shared" si="10"/>
        <v>2030086.7123339663</v>
      </c>
      <c r="T37" s="77">
        <f t="shared" si="11"/>
        <v>2029608.6201655008</v>
      </c>
    </row>
    <row r="38" spans="1:20" x14ac:dyDescent="0.3">
      <c r="A38" s="47">
        <v>2061</v>
      </c>
      <c r="B38" s="48" t="s">
        <v>57</v>
      </c>
      <c r="C38" s="165">
        <v>260</v>
      </c>
      <c r="D38" s="73">
        <v>275</v>
      </c>
      <c r="E38" s="77">
        <v>273</v>
      </c>
      <c r="F38" s="73">
        <v>80.41</v>
      </c>
      <c r="G38" s="78">
        <v>109.14</v>
      </c>
      <c r="H38" s="67">
        <v>107.74</v>
      </c>
      <c r="I38" s="77">
        <f t="shared" si="3"/>
        <v>366669.78651850135</v>
      </c>
      <c r="J38" s="77">
        <f t="shared" si="5"/>
        <v>359265.73985801043</v>
      </c>
      <c r="K38" s="77">
        <f t="shared" si="4"/>
        <v>540807.21549453598</v>
      </c>
      <c r="L38" s="77">
        <f t="shared" si="6"/>
        <v>529541.8249063571</v>
      </c>
      <c r="M38" s="77">
        <f t="shared" si="7"/>
        <v>535548.88930248993</v>
      </c>
      <c r="N38" s="77">
        <f t="shared" si="8"/>
        <v>524800.41442438134</v>
      </c>
      <c r="O38" s="77">
        <v>4474.0339647707488</v>
      </c>
      <c r="P38" s="70">
        <v>15207.635116295538</v>
      </c>
      <c r="Q38" s="70">
        <v>13973.714849066691</v>
      </c>
      <c r="R38" s="70">
        <f t="shared" si="9"/>
        <v>363739.77382278116</v>
      </c>
      <c r="S38" s="77">
        <f t="shared" si="10"/>
        <v>544749.46002265264</v>
      </c>
      <c r="T38" s="77">
        <f t="shared" si="11"/>
        <v>538774.12927344802</v>
      </c>
    </row>
    <row r="39" spans="1:20" x14ac:dyDescent="0.3">
      <c r="A39" s="47">
        <v>2063</v>
      </c>
      <c r="B39" s="48" t="s">
        <v>59</v>
      </c>
      <c r="C39" s="165">
        <v>665</v>
      </c>
      <c r="D39" s="73">
        <v>659</v>
      </c>
      <c r="E39" s="77">
        <v>670</v>
      </c>
      <c r="F39" s="73">
        <v>124.95</v>
      </c>
      <c r="G39" s="78">
        <v>105.89</v>
      </c>
      <c r="H39" s="67">
        <v>105.74</v>
      </c>
      <c r="I39" s="77">
        <f t="shared" si="3"/>
        <v>1457302.2028425802</v>
      </c>
      <c r="J39" s="77">
        <f t="shared" si="5"/>
        <v>1427875.3618401289</v>
      </c>
      <c r="K39" s="77">
        <f t="shared" si="4"/>
        <v>1257378.9833276398</v>
      </c>
      <c r="L39" s="77">
        <f t="shared" si="6"/>
        <v>1231186.9042304698</v>
      </c>
      <c r="M39" s="77">
        <f t="shared" si="7"/>
        <v>1289952.1878999961</v>
      </c>
      <c r="N39" s="77">
        <f t="shared" si="8"/>
        <v>1264062.8266062727</v>
      </c>
      <c r="O39" s="77">
        <v>64241.135926339339</v>
      </c>
      <c r="P39" s="70">
        <v>33663.385825848462</v>
      </c>
      <c r="Q39" s="70">
        <v>33159.617590958769</v>
      </c>
      <c r="R39" s="70">
        <f t="shared" si="9"/>
        <v>1492116.4977664682</v>
      </c>
      <c r="S39" s="77">
        <f t="shared" si="10"/>
        <v>1264850.2900563183</v>
      </c>
      <c r="T39" s="77">
        <f t="shared" si="11"/>
        <v>1297222.4441972314</v>
      </c>
    </row>
    <row r="40" spans="1:20" x14ac:dyDescent="0.3">
      <c r="A40" s="47">
        <v>2066</v>
      </c>
      <c r="B40" s="48" t="s">
        <v>60</v>
      </c>
      <c r="C40" s="165">
        <v>260</v>
      </c>
      <c r="D40" s="73">
        <v>258</v>
      </c>
      <c r="E40" s="77">
        <v>262</v>
      </c>
      <c r="F40" s="73">
        <v>96.55</v>
      </c>
      <c r="G40" s="78">
        <v>98.01</v>
      </c>
      <c r="H40" s="67">
        <v>97.84</v>
      </c>
      <c r="I40" s="77">
        <f t="shared" si="3"/>
        <v>440268.22395673802</v>
      </c>
      <c r="J40" s="77">
        <f t="shared" si="5"/>
        <v>431378.02740070765</v>
      </c>
      <c r="K40" s="77">
        <f t="shared" si="4"/>
        <v>455633.7954313833</v>
      </c>
      <c r="L40" s="77">
        <f t="shared" si="6"/>
        <v>446142.62644611893</v>
      </c>
      <c r="M40" s="77">
        <f t="shared" si="7"/>
        <v>466742.38389295526</v>
      </c>
      <c r="N40" s="77">
        <f t="shared" si="8"/>
        <v>457374.85669229965</v>
      </c>
      <c r="O40" s="77">
        <v>8328.07424782216</v>
      </c>
      <c r="P40" s="70">
        <v>9293.1065356978434</v>
      </c>
      <c r="Q40" s="70">
        <v>9503.1977820926058</v>
      </c>
      <c r="R40" s="70">
        <f t="shared" si="9"/>
        <v>439706.10164852982</v>
      </c>
      <c r="S40" s="77">
        <f t="shared" si="10"/>
        <v>455435.73298181675</v>
      </c>
      <c r="T40" s="77">
        <f t="shared" si="11"/>
        <v>466878.05447439227</v>
      </c>
    </row>
    <row r="41" spans="1:20" x14ac:dyDescent="0.3">
      <c r="A41" s="47">
        <v>2067</v>
      </c>
      <c r="B41" s="48" t="s">
        <v>62</v>
      </c>
      <c r="C41" s="165">
        <v>359</v>
      </c>
      <c r="D41" s="73">
        <v>372</v>
      </c>
      <c r="E41" s="77">
        <v>373</v>
      </c>
      <c r="F41" s="73">
        <v>99.17</v>
      </c>
      <c r="G41" s="78">
        <v>102.31</v>
      </c>
      <c r="H41" s="67">
        <v>101.07</v>
      </c>
      <c r="I41" s="77">
        <f t="shared" si="3"/>
        <v>624405.15147012332</v>
      </c>
      <c r="J41" s="77">
        <f t="shared" si="5"/>
        <v>611796.73636062688</v>
      </c>
      <c r="K41" s="77">
        <f t="shared" si="4"/>
        <v>685783.22664186126</v>
      </c>
      <c r="L41" s="77">
        <f t="shared" si="6"/>
        <v>671497.88486830972</v>
      </c>
      <c r="M41" s="77">
        <f t="shared" si="7"/>
        <v>686421.06414752349</v>
      </c>
      <c r="N41" s="77">
        <f t="shared" si="8"/>
        <v>672644.58227785991</v>
      </c>
      <c r="O41" s="77">
        <v>13556.656863632537</v>
      </c>
      <c r="P41" s="70">
        <v>15510.30703681356</v>
      </c>
      <c r="Q41" s="70">
        <v>14942.186587262277</v>
      </c>
      <c r="R41" s="70">
        <f t="shared" si="9"/>
        <v>625353.39322425937</v>
      </c>
      <c r="S41" s="77">
        <f t="shared" si="10"/>
        <v>687008.1919051233</v>
      </c>
      <c r="T41" s="77">
        <f t="shared" si="11"/>
        <v>687586.76886512223</v>
      </c>
    </row>
    <row r="42" spans="1:20" x14ac:dyDescent="0.3">
      <c r="A42" s="47">
        <v>2068</v>
      </c>
      <c r="B42" s="48" t="s">
        <v>64</v>
      </c>
      <c r="C42" s="165">
        <v>752</v>
      </c>
      <c r="D42" s="73">
        <v>742</v>
      </c>
      <c r="E42" s="77">
        <v>738</v>
      </c>
      <c r="F42" s="73">
        <v>98.61</v>
      </c>
      <c r="G42" s="78">
        <v>113.22</v>
      </c>
      <c r="H42" s="67">
        <v>111.24</v>
      </c>
      <c r="I42" s="77">
        <f t="shared" si="3"/>
        <v>1300560.3661876749</v>
      </c>
      <c r="J42" s="77">
        <f t="shared" si="5"/>
        <v>1274298.5633610249</v>
      </c>
      <c r="K42" s="77">
        <f t="shared" si="4"/>
        <v>1513745.5864931513</v>
      </c>
      <c r="L42" s="77">
        <f t="shared" si="6"/>
        <v>1482213.2126741677</v>
      </c>
      <c r="M42" s="77">
        <f t="shared" si="7"/>
        <v>1494778.5141802719</v>
      </c>
      <c r="N42" s="77">
        <f t="shared" si="8"/>
        <v>1464778.2852022441</v>
      </c>
      <c r="O42" s="77">
        <v>26770.365741043384</v>
      </c>
      <c r="P42" s="70">
        <v>49048.86656686521</v>
      </c>
      <c r="Q42" s="70">
        <v>45929.57272217155</v>
      </c>
      <c r="R42" s="70">
        <f t="shared" si="9"/>
        <v>1301068.9291020683</v>
      </c>
      <c r="S42" s="77">
        <f t="shared" si="10"/>
        <v>1531262.0792410329</v>
      </c>
      <c r="T42" s="77">
        <f t="shared" si="11"/>
        <v>1510707.8579244157</v>
      </c>
    </row>
    <row r="43" spans="1:20" x14ac:dyDescent="0.3">
      <c r="A43" s="47">
        <v>2072</v>
      </c>
      <c r="B43" s="48" t="s">
        <v>66</v>
      </c>
      <c r="C43" s="165">
        <v>289</v>
      </c>
      <c r="D43" s="73">
        <v>304</v>
      </c>
      <c r="E43" s="77">
        <v>320</v>
      </c>
      <c r="F43" s="73">
        <v>113.44</v>
      </c>
      <c r="G43" s="78">
        <v>89.25</v>
      </c>
      <c r="H43" s="67">
        <v>87.51</v>
      </c>
      <c r="I43" s="77">
        <f t="shared" si="3"/>
        <v>574984.02171507513</v>
      </c>
      <c r="J43" s="77">
        <f t="shared" si="5"/>
        <v>563373.55179815891</v>
      </c>
      <c r="K43" s="77">
        <f t="shared" si="4"/>
        <v>488886.04697212088</v>
      </c>
      <c r="L43" s="77">
        <f t="shared" si="6"/>
        <v>478702.2104506066</v>
      </c>
      <c r="M43" s="77">
        <f t="shared" si="7"/>
        <v>509879.04869732814</v>
      </c>
      <c r="N43" s="77">
        <f t="shared" si="8"/>
        <v>499645.76793572487</v>
      </c>
      <c r="O43" s="77">
        <v>18317.612802223503</v>
      </c>
      <c r="P43" s="70">
        <v>7185.730789583964</v>
      </c>
      <c r="Q43" s="70">
        <v>6760.1949769299063</v>
      </c>
      <c r="R43" s="70">
        <f t="shared" si="9"/>
        <v>581691.16460038244</v>
      </c>
      <c r="S43" s="77">
        <f t="shared" si="10"/>
        <v>485887.94124019059</v>
      </c>
      <c r="T43" s="77">
        <f t="shared" si="11"/>
        <v>506405.9629126548</v>
      </c>
    </row>
    <row r="44" spans="1:20" x14ac:dyDescent="0.3">
      <c r="A44" s="47">
        <v>2079</v>
      </c>
      <c r="B44" s="48" t="s">
        <v>68</v>
      </c>
      <c r="C44" s="165">
        <v>187</v>
      </c>
      <c r="D44" s="73">
        <v>190</v>
      </c>
      <c r="E44" s="77">
        <v>197</v>
      </c>
      <c r="F44" s="73">
        <v>107.05</v>
      </c>
      <c r="G44" s="78">
        <v>91.41</v>
      </c>
      <c r="H44" s="67">
        <v>90.47</v>
      </c>
      <c r="I44" s="77">
        <f t="shared" si="3"/>
        <v>351091.240132429</v>
      </c>
      <c r="J44" s="77">
        <f t="shared" si="5"/>
        <v>344001.76611627912</v>
      </c>
      <c r="K44" s="77">
        <f t="shared" si="4"/>
        <v>312948.69435379247</v>
      </c>
      <c r="L44" s="77">
        <f t="shared" si="6"/>
        <v>306429.75530315086</v>
      </c>
      <c r="M44" s="77">
        <f t="shared" si="7"/>
        <v>324511.67132765229</v>
      </c>
      <c r="N44" s="77">
        <f t="shared" si="8"/>
        <v>317998.71683070401</v>
      </c>
      <c r="O44" s="77">
        <v>8338.1181568156462</v>
      </c>
      <c r="P44" s="70">
        <v>4970.1273359794632</v>
      </c>
      <c r="Q44" s="70">
        <v>4996.7844076856072</v>
      </c>
      <c r="R44" s="70">
        <f t="shared" si="9"/>
        <v>352339.88427309477</v>
      </c>
      <c r="S44" s="77">
        <f t="shared" si="10"/>
        <v>311399.88263913034</v>
      </c>
      <c r="T44" s="77">
        <f t="shared" si="11"/>
        <v>322995.50123838964</v>
      </c>
    </row>
    <row r="45" spans="1:20" x14ac:dyDescent="0.3">
      <c r="A45" s="47">
        <v>2086</v>
      </c>
      <c r="B45" s="48" t="s">
        <v>70</v>
      </c>
      <c r="C45" s="165">
        <v>428</v>
      </c>
      <c r="D45" s="73">
        <v>453</v>
      </c>
      <c r="E45" s="77">
        <v>487</v>
      </c>
      <c r="F45" s="73">
        <v>113.31</v>
      </c>
      <c r="G45" s="78">
        <v>86.14</v>
      </c>
      <c r="H45" s="67">
        <v>87.48</v>
      </c>
      <c r="I45" s="77">
        <f t="shared" si="3"/>
        <v>850557.58958683256</v>
      </c>
      <c r="J45" s="77">
        <f t="shared" si="5"/>
        <v>833382.55004913162</v>
      </c>
      <c r="K45" s="77">
        <f t="shared" si="4"/>
        <v>703119.11289395753</v>
      </c>
      <c r="L45" s="77">
        <f t="shared" si="6"/>
        <v>688472.65254760091</v>
      </c>
      <c r="M45" s="77">
        <f t="shared" si="7"/>
        <v>775706.16003458831</v>
      </c>
      <c r="N45" s="77">
        <f t="shared" si="8"/>
        <v>760137.72484506713</v>
      </c>
      <c r="O45" s="77">
        <v>28370.988165026993</v>
      </c>
      <c r="P45" s="70">
        <v>9820.6011063417136</v>
      </c>
      <c r="Q45" s="70">
        <v>9997.9166160412587</v>
      </c>
      <c r="R45" s="70">
        <f t="shared" si="9"/>
        <v>861753.53821415862</v>
      </c>
      <c r="S45" s="77">
        <f t="shared" si="10"/>
        <v>698293.25365394261</v>
      </c>
      <c r="T45" s="77">
        <f t="shared" si="11"/>
        <v>770135.64146110835</v>
      </c>
    </row>
    <row r="46" spans="1:20" x14ac:dyDescent="0.3">
      <c r="A46" s="47">
        <v>2087</v>
      </c>
      <c r="B46" s="48" t="s">
        <v>72</v>
      </c>
      <c r="C46" s="165">
        <v>1018</v>
      </c>
      <c r="D46" s="77">
        <v>1000</v>
      </c>
      <c r="E46" s="77">
        <v>1011</v>
      </c>
      <c r="F46" s="73">
        <v>109.29</v>
      </c>
      <c r="G46" s="78">
        <v>98.92</v>
      </c>
      <c r="H46" s="67">
        <v>99.48</v>
      </c>
      <c r="I46" s="77">
        <f t="shared" si="3"/>
        <v>1951281.4664288759</v>
      </c>
      <c r="J46" s="77">
        <f t="shared" si="5"/>
        <v>1911879.8588888405</v>
      </c>
      <c r="K46" s="77">
        <f t="shared" si="4"/>
        <v>1782419.5697509286</v>
      </c>
      <c r="L46" s="77">
        <f t="shared" si="6"/>
        <v>1745290.5299194308</v>
      </c>
      <c r="M46" s="77">
        <f t="shared" si="7"/>
        <v>1831244.9366436235</v>
      </c>
      <c r="N46" s="77">
        <f t="shared" si="8"/>
        <v>1794491.8211198228</v>
      </c>
      <c r="O46" s="77">
        <v>56685.113274924523</v>
      </c>
      <c r="P46" s="70">
        <v>38611.049020894265</v>
      </c>
      <c r="Q46" s="70">
        <v>39766.880870082241</v>
      </c>
      <c r="R46" s="70">
        <f t="shared" si="9"/>
        <v>1968564.972163765</v>
      </c>
      <c r="S46" s="77">
        <f t="shared" si="10"/>
        <v>1783901.5789403252</v>
      </c>
      <c r="T46" s="77">
        <f t="shared" si="11"/>
        <v>1834258.701989905</v>
      </c>
    </row>
    <row r="47" spans="1:20" x14ac:dyDescent="0.3">
      <c r="A47" s="47">
        <v>2089</v>
      </c>
      <c r="B47" s="48" t="s">
        <v>74</v>
      </c>
      <c r="C47" s="165">
        <v>355</v>
      </c>
      <c r="D47" s="73">
        <v>364</v>
      </c>
      <c r="E47" s="77">
        <v>399</v>
      </c>
      <c r="F47" s="73">
        <v>73.22</v>
      </c>
      <c r="G47" s="78">
        <v>101.07</v>
      </c>
      <c r="H47" s="67">
        <v>101.63</v>
      </c>
      <c r="I47" s="77">
        <f t="shared" si="3"/>
        <v>455879.2165131612</v>
      </c>
      <c r="J47" s="77">
        <f t="shared" si="5"/>
        <v>446673.79213756655</v>
      </c>
      <c r="K47" s="77">
        <f t="shared" si="4"/>
        <v>662902.23527052556</v>
      </c>
      <c r="L47" s="77">
        <f t="shared" si="6"/>
        <v>649093.52046765364</v>
      </c>
      <c r="M47" s="77">
        <f t="shared" si="7"/>
        <v>738336.47868545994</v>
      </c>
      <c r="N47" s="77">
        <f t="shared" si="8"/>
        <v>723518.05360558</v>
      </c>
      <c r="O47" s="77">
        <v>4269.5890138265031</v>
      </c>
      <c r="P47" s="70">
        <v>15278.39188654445</v>
      </c>
      <c r="Q47" s="70">
        <v>15105.903265405854</v>
      </c>
      <c r="R47" s="70">
        <f t="shared" si="9"/>
        <v>450943.38115139306</v>
      </c>
      <c r="S47" s="77">
        <f t="shared" si="10"/>
        <v>664371.91235419805</v>
      </c>
      <c r="T47" s="77">
        <f t="shared" si="11"/>
        <v>738623.95687098592</v>
      </c>
    </row>
    <row r="48" spans="1:20" x14ac:dyDescent="0.3">
      <c r="A48" s="47">
        <v>2096</v>
      </c>
      <c r="B48" s="48" t="s">
        <v>76</v>
      </c>
      <c r="C48" s="165">
        <v>4621</v>
      </c>
      <c r="D48" s="77">
        <v>4841</v>
      </c>
      <c r="E48" s="77">
        <v>4973</v>
      </c>
      <c r="F48" s="73">
        <v>104.83</v>
      </c>
      <c r="G48" s="78">
        <v>107.67</v>
      </c>
      <c r="H48" s="67">
        <v>106.77</v>
      </c>
      <c r="I48" s="77">
        <f t="shared" si="3"/>
        <v>8495975.8632926494</v>
      </c>
      <c r="J48" s="77">
        <f t="shared" si="5"/>
        <v>8324419.3183274986</v>
      </c>
      <c r="K48" s="77">
        <f t="shared" si="4"/>
        <v>9391946.9276028555</v>
      </c>
      <c r="L48" s="77">
        <f t="shared" si="6"/>
        <v>9196306.1382577252</v>
      </c>
      <c r="M48" s="77">
        <f t="shared" si="7"/>
        <v>9667789.9641567543</v>
      </c>
      <c r="N48" s="77">
        <f t="shared" si="8"/>
        <v>9473757.263067767</v>
      </c>
      <c r="O48" s="77">
        <v>211704.99145024986</v>
      </c>
      <c r="P48" s="70">
        <v>249391.85954589571</v>
      </c>
      <c r="Q48" s="70">
        <v>239532.02349593749</v>
      </c>
      <c r="R48" s="70">
        <f t="shared" si="9"/>
        <v>8536124.3097777478</v>
      </c>
      <c r="S48" s="77">
        <f t="shared" si="10"/>
        <v>9445697.997803621</v>
      </c>
      <c r="T48" s="77">
        <f t="shared" si="11"/>
        <v>9713289.2865637038</v>
      </c>
    </row>
    <row r="49" spans="1:20" x14ac:dyDescent="0.3">
      <c r="A49" s="47">
        <v>2097</v>
      </c>
      <c r="B49" s="48" t="s">
        <v>78</v>
      </c>
      <c r="C49" s="165">
        <v>1265</v>
      </c>
      <c r="D49" s="77">
        <v>1336</v>
      </c>
      <c r="E49" s="77">
        <v>1404</v>
      </c>
      <c r="F49" s="73">
        <v>93.28</v>
      </c>
      <c r="G49" s="78">
        <v>96.15</v>
      </c>
      <c r="H49" s="67">
        <v>96.37</v>
      </c>
      <c r="I49" s="77">
        <f t="shared" si="3"/>
        <v>2069525.4835006141</v>
      </c>
      <c r="J49" s="77">
        <f t="shared" si="5"/>
        <v>2027736.2120408549</v>
      </c>
      <c r="K49" s="77">
        <f t="shared" si="4"/>
        <v>2314630.0163743752</v>
      </c>
      <c r="L49" s="77">
        <f t="shared" si="6"/>
        <v>2266414.6626318479</v>
      </c>
      <c r="M49" s="77">
        <f t="shared" si="7"/>
        <v>2463590.2206832781</v>
      </c>
      <c r="N49" s="77">
        <f t="shared" si="8"/>
        <v>2414145.925071992</v>
      </c>
      <c r="O49" s="77">
        <v>36339.826673630523</v>
      </c>
      <c r="P49" s="70">
        <v>41965.833484562907</v>
      </c>
      <c r="Q49" s="70">
        <v>43519.971805288405</v>
      </c>
      <c r="R49" s="70">
        <f t="shared" si="9"/>
        <v>2064076.0387144855</v>
      </c>
      <c r="S49" s="77">
        <f t="shared" si="10"/>
        <v>2308380.4961164109</v>
      </c>
      <c r="T49" s="77">
        <f t="shared" si="11"/>
        <v>2457665.8968772804</v>
      </c>
    </row>
    <row r="50" spans="1:20" x14ac:dyDescent="0.3">
      <c r="A50" s="47">
        <v>2099</v>
      </c>
      <c r="B50" s="48" t="s">
        <v>80</v>
      </c>
      <c r="C50" s="165">
        <v>2124</v>
      </c>
      <c r="D50" s="77">
        <v>2153</v>
      </c>
      <c r="E50" s="77">
        <v>2195</v>
      </c>
      <c r="F50" s="73">
        <v>112.28</v>
      </c>
      <c r="G50" s="78">
        <v>97.66</v>
      </c>
      <c r="H50" s="67">
        <v>97.44</v>
      </c>
      <c r="I50" s="77">
        <f t="shared" si="3"/>
        <v>4182622.1399343521</v>
      </c>
      <c r="J50" s="77">
        <f t="shared" si="5"/>
        <v>4098163.7781442576</v>
      </c>
      <c r="K50" s="77">
        <f t="shared" si="4"/>
        <v>3788668.2968720007</v>
      </c>
      <c r="L50" s="77">
        <f t="shared" si="6"/>
        <v>3709747.7001224095</v>
      </c>
      <c r="M50" s="77">
        <f t="shared" si="7"/>
        <v>3894317.0365752303</v>
      </c>
      <c r="N50" s="77">
        <f t="shared" si="8"/>
        <v>3816158.0306074726</v>
      </c>
      <c r="O50" s="79">
        <v>130356.97964218707</v>
      </c>
      <c r="P50" s="70">
        <v>76379.04800738125</v>
      </c>
      <c r="Q50" s="70">
        <v>76372.016453097182</v>
      </c>
      <c r="R50" s="70">
        <f t="shared" si="9"/>
        <v>4228520.7577864444</v>
      </c>
      <c r="S50" s="77">
        <f t="shared" si="10"/>
        <v>3786126.7481297906</v>
      </c>
      <c r="T50" s="77">
        <f t="shared" si="11"/>
        <v>3892530.0470605697</v>
      </c>
    </row>
    <row r="51" spans="1:20" s="60" customFormat="1" x14ac:dyDescent="0.3">
      <c r="A51" s="58">
        <v>2102</v>
      </c>
      <c r="B51" s="59" t="s">
        <v>83</v>
      </c>
      <c r="C51" s="166">
        <f>1889+600</f>
        <v>2489</v>
      </c>
      <c r="D51" s="79">
        <v>2564</v>
      </c>
      <c r="E51" s="79">
        <v>2717</v>
      </c>
      <c r="F51" s="81">
        <v>101.82</v>
      </c>
      <c r="G51" s="82">
        <v>106.45</v>
      </c>
      <c r="H51" s="67">
        <v>107.4</v>
      </c>
      <c r="I51" s="77">
        <f t="shared" si="3"/>
        <v>4444774.2179019097</v>
      </c>
      <c r="J51" s="77">
        <f t="shared" si="5"/>
        <v>4355022.3023782335</v>
      </c>
      <c r="K51" s="77">
        <f t="shared" si="4"/>
        <v>4918011.2822964517</v>
      </c>
      <c r="L51" s="77">
        <f t="shared" si="6"/>
        <v>4815565.6853724588</v>
      </c>
      <c r="M51" s="77">
        <f t="shared" si="7"/>
        <v>5313166.4848432597</v>
      </c>
      <c r="N51" s="77">
        <f t="shared" si="8"/>
        <v>5206531.1474795211</v>
      </c>
      <c r="O51" s="83">
        <f>77988+23544</f>
        <v>101532</v>
      </c>
      <c r="P51" s="70">
        <v>125631.49952264183</v>
      </c>
      <c r="Q51" s="70">
        <v>132090.82904006267</v>
      </c>
      <c r="R51" s="70">
        <f t="shared" si="9"/>
        <v>4456554.3023782335</v>
      </c>
      <c r="S51" s="77">
        <f t="shared" si="10"/>
        <v>4941197.184895101</v>
      </c>
      <c r="T51" s="77">
        <f t="shared" si="11"/>
        <v>5338621.9765195837</v>
      </c>
    </row>
    <row r="52" spans="1:20" x14ac:dyDescent="0.3">
      <c r="A52" s="47">
        <v>2111</v>
      </c>
      <c r="B52" s="48" t="s">
        <v>85</v>
      </c>
      <c r="C52" s="165">
        <v>1029</v>
      </c>
      <c r="D52" s="77">
        <v>1101</v>
      </c>
      <c r="E52" s="77">
        <v>1189</v>
      </c>
      <c r="F52" s="80">
        <v>109.76</v>
      </c>
      <c r="G52" s="78">
        <v>99.55</v>
      </c>
      <c r="H52" s="67">
        <v>100.24</v>
      </c>
      <c r="I52" s="77">
        <f t="shared" si="3"/>
        <v>1980848.1706997103</v>
      </c>
      <c r="J52" s="77">
        <f t="shared" si="5"/>
        <v>1940849.5320813938</v>
      </c>
      <c r="K52" s="77">
        <f t="shared" si="4"/>
        <v>1974942.3256545102</v>
      </c>
      <c r="L52" s="77">
        <f t="shared" si="6"/>
        <v>1933802.9028617141</v>
      </c>
      <c r="M52" s="77">
        <f t="shared" si="7"/>
        <v>2170113.3433124996</v>
      </c>
      <c r="N52" s="77">
        <f t="shared" si="8"/>
        <v>2126559.1333810361</v>
      </c>
      <c r="O52" s="77">
        <v>54189.137491639594</v>
      </c>
      <c r="P52" s="70">
        <v>39564.383960533254</v>
      </c>
      <c r="Q52" s="70">
        <v>41439.093895742597</v>
      </c>
      <c r="R52" s="70">
        <f t="shared" si="9"/>
        <v>1995038.6695730335</v>
      </c>
      <c r="S52" s="77">
        <f t="shared" si="10"/>
        <v>1973367.2868222473</v>
      </c>
      <c r="T52" s="77">
        <f t="shared" si="11"/>
        <v>2167998.2272767788</v>
      </c>
    </row>
    <row r="53" spans="1:20" x14ac:dyDescent="0.3">
      <c r="A53" s="47">
        <v>2113</v>
      </c>
      <c r="B53" s="48" t="s">
        <v>89</v>
      </c>
      <c r="C53" s="165">
        <v>2024</v>
      </c>
      <c r="D53" s="77">
        <v>2118</v>
      </c>
      <c r="E53" s="77">
        <v>2134</v>
      </c>
      <c r="F53" s="73">
        <v>106.79</v>
      </c>
      <c r="G53" s="78">
        <v>104.19</v>
      </c>
      <c r="H53" s="67">
        <v>104.12</v>
      </c>
      <c r="I53" s="77">
        <f t="shared" si="3"/>
        <v>3790816.9190914347</v>
      </c>
      <c r="J53" s="77">
        <f t="shared" si="5"/>
        <v>3714270.1558120577</v>
      </c>
      <c r="K53" s="77">
        <f t="shared" si="4"/>
        <v>3976287.9574548695</v>
      </c>
      <c r="L53" s="77">
        <f t="shared" si="6"/>
        <v>3893459.1126310457</v>
      </c>
      <c r="M53" s="77">
        <f t="shared" si="7"/>
        <v>4045647.8680465315</v>
      </c>
      <c r="N53" s="77">
        <f t="shared" si="8"/>
        <v>3964451.6498413049</v>
      </c>
      <c r="O53" s="77">
        <v>101477.82251452106</v>
      </c>
      <c r="P53" s="70">
        <v>93181.763609192712</v>
      </c>
      <c r="Q53" s="70">
        <v>94880.680267374337</v>
      </c>
      <c r="R53" s="70">
        <f t="shared" si="9"/>
        <v>3815747.9783265786</v>
      </c>
      <c r="S53" s="77">
        <f t="shared" si="10"/>
        <v>3986640.8762402385</v>
      </c>
      <c r="T53" s="77">
        <f t="shared" si="11"/>
        <v>4059332.3301086794</v>
      </c>
    </row>
    <row r="54" spans="1:20" x14ac:dyDescent="0.3">
      <c r="A54" s="47">
        <v>2114</v>
      </c>
      <c r="B54" s="48" t="s">
        <v>90</v>
      </c>
      <c r="C54" s="165">
        <v>1275</v>
      </c>
      <c r="D54" s="77">
        <v>1310</v>
      </c>
      <c r="E54" s="77">
        <v>1297</v>
      </c>
      <c r="F54" s="73">
        <v>101.33</v>
      </c>
      <c r="G54" s="78">
        <v>99.32</v>
      </c>
      <c r="H54" s="67">
        <v>100.05</v>
      </c>
      <c r="I54" s="77">
        <f t="shared" si="3"/>
        <v>2265895.8449292411</v>
      </c>
      <c r="J54" s="77">
        <f t="shared" si="5"/>
        <v>2220141.3290664456</v>
      </c>
      <c r="K54" s="77">
        <f t="shared" si="4"/>
        <v>2344411.4869049485</v>
      </c>
      <c r="L54" s="77">
        <f t="shared" si="6"/>
        <v>2295575.7644095551</v>
      </c>
      <c r="M54" s="77">
        <f t="shared" si="7"/>
        <v>2362743.4819003358</v>
      </c>
      <c r="N54" s="77">
        <f t="shared" si="8"/>
        <v>2315323.1819689949</v>
      </c>
      <c r="O54" s="77">
        <v>52329.614268874386</v>
      </c>
      <c r="P54" s="70">
        <v>49590.375943464518</v>
      </c>
      <c r="Q54" s="70">
        <v>50957.627588179865</v>
      </c>
      <c r="R54" s="70">
        <f t="shared" si="9"/>
        <v>2272470.9433353199</v>
      </c>
      <c r="S54" s="77">
        <f t="shared" si="10"/>
        <v>2345166.1403530198</v>
      </c>
      <c r="T54" s="77">
        <f t="shared" si="11"/>
        <v>2366280.8095571748</v>
      </c>
    </row>
    <row r="55" spans="1:20" x14ac:dyDescent="0.3">
      <c r="A55" s="47">
        <v>2115</v>
      </c>
      <c r="B55" s="48" t="s">
        <v>81</v>
      </c>
      <c r="C55" s="165">
        <v>815</v>
      </c>
      <c r="D55" s="73">
        <v>851</v>
      </c>
      <c r="E55" s="77">
        <v>871</v>
      </c>
      <c r="F55" s="73">
        <v>90.57</v>
      </c>
      <c r="G55" s="78">
        <v>96.88</v>
      </c>
      <c r="H55" s="67">
        <v>97.24</v>
      </c>
      <c r="I55" s="77">
        <f t="shared" si="3"/>
        <v>1294594.3046913049</v>
      </c>
      <c r="J55" s="77">
        <f t="shared" si="5"/>
        <v>1268452.9726515117</v>
      </c>
      <c r="K55" s="77">
        <f t="shared" si="4"/>
        <v>1485557.6985217037</v>
      </c>
      <c r="L55" s="77">
        <f t="shared" si="6"/>
        <v>1454612.4980220774</v>
      </c>
      <c r="M55" s="77">
        <f t="shared" si="7"/>
        <v>1542135.7667563295</v>
      </c>
      <c r="N55" s="77">
        <f t="shared" si="8"/>
        <v>1511185.0769524507</v>
      </c>
      <c r="O55" s="77">
        <v>21038.921213147416</v>
      </c>
      <c r="P55" s="70">
        <v>28753.457021767237</v>
      </c>
      <c r="Q55" s="70">
        <v>29064.84781477628</v>
      </c>
      <c r="R55" s="70">
        <f t="shared" si="9"/>
        <v>1289491.8938646591</v>
      </c>
      <c r="S55" s="77">
        <f t="shared" si="10"/>
        <v>1483365.9550438446</v>
      </c>
      <c r="T55" s="77">
        <f t="shared" si="11"/>
        <v>1540249.9247672269</v>
      </c>
    </row>
    <row r="56" spans="1:20" x14ac:dyDescent="0.3">
      <c r="A56" s="47">
        <v>2116</v>
      </c>
      <c r="B56" s="48" t="s">
        <v>307</v>
      </c>
      <c r="C56" s="165">
        <v>882</v>
      </c>
      <c r="D56" s="73">
        <v>899</v>
      </c>
      <c r="E56" s="77">
        <v>935</v>
      </c>
      <c r="F56" s="73">
        <v>105.9</v>
      </c>
      <c r="G56" s="78">
        <v>90.88</v>
      </c>
      <c r="H56" s="67">
        <v>92.1</v>
      </c>
      <c r="I56" s="77">
        <f t="shared" si="3"/>
        <v>1638159.7871493592</v>
      </c>
      <c r="J56" s="77">
        <f t="shared" si="5"/>
        <v>1605080.9463303278</v>
      </c>
      <c r="K56" s="77">
        <f t="shared" si="4"/>
        <v>1472156.0367829457</v>
      </c>
      <c r="L56" s="77">
        <f t="shared" si="6"/>
        <v>1441490.0022221089</v>
      </c>
      <c r="M56" s="77">
        <f t="shared" si="7"/>
        <v>1567944.7156038368</v>
      </c>
      <c r="N56" s="77">
        <f t="shared" si="8"/>
        <v>1536476.0397787767</v>
      </c>
      <c r="O56" s="77">
        <v>43393.21389919502</v>
      </c>
      <c r="P56" s="70">
        <v>24086.157905765216</v>
      </c>
      <c r="Q56" s="70">
        <v>25312.657906492463</v>
      </c>
      <c r="R56" s="70">
        <f t="shared" si="9"/>
        <v>1648474.1602295227</v>
      </c>
      <c r="S56" s="77">
        <f t="shared" si="10"/>
        <v>1465576.160127874</v>
      </c>
      <c r="T56" s="77">
        <f t="shared" si="11"/>
        <v>1561788.6976852692</v>
      </c>
    </row>
    <row r="57" spans="1:20" x14ac:dyDescent="0.3">
      <c r="A57" s="47">
        <v>2121</v>
      </c>
      <c r="B57" s="48" t="s">
        <v>92</v>
      </c>
      <c r="C57" s="165">
        <v>1412</v>
      </c>
      <c r="D57" s="77">
        <v>1424</v>
      </c>
      <c r="E57" s="77">
        <v>1445</v>
      </c>
      <c r="F57" s="73">
        <v>97.53</v>
      </c>
      <c r="G57" s="78">
        <v>87.18</v>
      </c>
      <c r="H57" s="67">
        <v>87.79</v>
      </c>
      <c r="I57" s="77">
        <f t="shared" si="3"/>
        <v>2415264.1578333639</v>
      </c>
      <c r="J57" s="77">
        <f t="shared" si="5"/>
        <v>2366493.4950203612</v>
      </c>
      <c r="K57" s="77">
        <f t="shared" si="4"/>
        <v>2236931.514773773</v>
      </c>
      <c r="L57" s="77">
        <f t="shared" si="6"/>
        <v>2190334.6748815957</v>
      </c>
      <c r="M57" s="77">
        <f t="shared" si="7"/>
        <v>2309789.4895949406</v>
      </c>
      <c r="N57" s="77">
        <f t="shared" si="8"/>
        <v>2263431.977146422</v>
      </c>
      <c r="O57" s="77">
        <v>51775.383155036165</v>
      </c>
      <c r="P57" s="70">
        <v>33060.080796296708</v>
      </c>
      <c r="Q57" s="70">
        <v>33453.806201288033</v>
      </c>
      <c r="R57" s="70">
        <f t="shared" si="9"/>
        <v>2418268.8781753974</v>
      </c>
      <c r="S57" s="77">
        <f t="shared" si="10"/>
        <v>2223394.7556778924</v>
      </c>
      <c r="T57" s="77">
        <f t="shared" si="11"/>
        <v>2296885.78334771</v>
      </c>
    </row>
    <row r="58" spans="1:20" x14ac:dyDescent="0.3">
      <c r="A58" s="47">
        <v>2122</v>
      </c>
      <c r="B58" s="48" t="s">
        <v>93</v>
      </c>
      <c r="C58" s="165">
        <v>1631</v>
      </c>
      <c r="D58" s="77">
        <v>1665</v>
      </c>
      <c r="E58" s="77">
        <v>1711</v>
      </c>
      <c r="F58" s="73">
        <v>85.89</v>
      </c>
      <c r="G58" s="78">
        <v>101.89</v>
      </c>
      <c r="H58" s="67">
        <v>101.43</v>
      </c>
      <c r="I58" s="77">
        <f t="shared" si="3"/>
        <v>2456904.5205535488</v>
      </c>
      <c r="J58" s="77">
        <f t="shared" si="5"/>
        <v>2407293.0271079834</v>
      </c>
      <c r="K58" s="77">
        <f t="shared" si="4"/>
        <v>3056832.4442640548</v>
      </c>
      <c r="L58" s="77">
        <f t="shared" si="6"/>
        <v>2993156.4975299453</v>
      </c>
      <c r="M58" s="77">
        <f t="shared" si="7"/>
        <v>3159918.9234420373</v>
      </c>
      <c r="N58" s="77">
        <f t="shared" si="8"/>
        <v>3096499.2994937687</v>
      </c>
      <c r="O58" s="77">
        <v>34966.381313541642</v>
      </c>
      <c r="P58" s="70">
        <v>69790.706202519461</v>
      </c>
      <c r="Q58" s="70">
        <v>68857.350341516052</v>
      </c>
      <c r="R58" s="70">
        <f t="shared" si="9"/>
        <v>2442259.4084215248</v>
      </c>
      <c r="S58" s="77">
        <f t="shared" si="10"/>
        <v>3062947.2037324649</v>
      </c>
      <c r="T58" s="77">
        <f t="shared" si="11"/>
        <v>3165356.6498352848</v>
      </c>
    </row>
    <row r="59" spans="1:20" x14ac:dyDescent="0.3">
      <c r="A59" s="47">
        <v>2123</v>
      </c>
      <c r="B59" s="48" t="s">
        <v>95</v>
      </c>
      <c r="C59" s="165">
        <v>492</v>
      </c>
      <c r="D59" s="73">
        <v>504</v>
      </c>
      <c r="E59" s="77">
        <v>521</v>
      </c>
      <c r="F59" s="73">
        <v>89.66</v>
      </c>
      <c r="G59" s="78">
        <v>94.23</v>
      </c>
      <c r="H59" s="67">
        <v>95.87</v>
      </c>
      <c r="I59" s="77">
        <f t="shared" si="3"/>
        <v>773669.63662912312</v>
      </c>
      <c r="J59" s="77">
        <f t="shared" si="5"/>
        <v>758047.17113013379</v>
      </c>
      <c r="K59" s="77">
        <f t="shared" si="4"/>
        <v>855747.34748327464</v>
      </c>
      <c r="L59" s="77">
        <f t="shared" si="6"/>
        <v>837921.53481289151</v>
      </c>
      <c r="M59" s="77">
        <f t="shared" si="7"/>
        <v>909452.36228992743</v>
      </c>
      <c r="N59" s="77">
        <f t="shared" si="8"/>
        <v>891199.63865597255</v>
      </c>
      <c r="O59" s="77">
        <v>12128.777533910394</v>
      </c>
      <c r="P59" s="70">
        <v>15402.240741469521</v>
      </c>
      <c r="Q59" s="70">
        <v>16577.790849213761</v>
      </c>
      <c r="R59" s="70">
        <f t="shared" si="9"/>
        <v>770175.94866404415</v>
      </c>
      <c r="S59" s="77">
        <f t="shared" si="10"/>
        <v>853323.77555436105</v>
      </c>
      <c r="T59" s="77">
        <f t="shared" si="11"/>
        <v>907777.42950518627</v>
      </c>
    </row>
    <row r="60" spans="1:20" x14ac:dyDescent="0.3">
      <c r="A60" s="47">
        <v>2124</v>
      </c>
      <c r="B60" s="48" t="s">
        <v>97</v>
      </c>
      <c r="C60" s="165">
        <v>2278</v>
      </c>
      <c r="D60" s="77">
        <v>2442</v>
      </c>
      <c r="E60" s="77">
        <v>2500</v>
      </c>
      <c r="F60" s="73">
        <v>100.04</v>
      </c>
      <c r="G60" s="78">
        <v>103.55</v>
      </c>
      <c r="H60" s="67">
        <v>104.23</v>
      </c>
      <c r="I60" s="77">
        <f t="shared" si="3"/>
        <v>3996861.6762104873</v>
      </c>
      <c r="J60" s="77">
        <f t="shared" si="5"/>
        <v>3916154.3165254337</v>
      </c>
      <c r="K60" s="77">
        <f t="shared" si="4"/>
        <v>4556397.4163496215</v>
      </c>
      <c r="L60" s="77">
        <f t="shared" si="6"/>
        <v>4461484.4878613986</v>
      </c>
      <c r="M60" s="77">
        <f t="shared" si="7"/>
        <v>4744519.6661205245</v>
      </c>
      <c r="N60" s="77">
        <f t="shared" si="8"/>
        <v>4649297.079614169</v>
      </c>
      <c r="O60" s="77">
        <v>88671.623397585994</v>
      </c>
      <c r="P60" s="70">
        <v>106770.75375789357</v>
      </c>
      <c r="Q60" s="70">
        <v>107239.63192302533</v>
      </c>
      <c r="R60" s="70">
        <f t="shared" si="9"/>
        <v>4004825.9399230196</v>
      </c>
      <c r="S60" s="77">
        <f t="shared" si="10"/>
        <v>4568255.2416192926</v>
      </c>
      <c r="T60" s="77">
        <f t="shared" si="11"/>
        <v>4756536.7115371944</v>
      </c>
    </row>
    <row r="61" spans="1:20" x14ac:dyDescent="0.3">
      <c r="A61" s="47">
        <v>2125</v>
      </c>
      <c r="B61" s="48" t="s">
        <v>99</v>
      </c>
      <c r="C61" s="165">
        <v>19592</v>
      </c>
      <c r="D61" s="77">
        <v>20177</v>
      </c>
      <c r="E61" s="77">
        <v>20824</v>
      </c>
      <c r="F61" s="73">
        <v>103.04</v>
      </c>
      <c r="G61" s="78">
        <v>106.3</v>
      </c>
      <c r="H61" s="67">
        <v>105.42</v>
      </c>
      <c r="I61" s="77">
        <f t="shared" si="3"/>
        <v>35405957.013467424</v>
      </c>
      <c r="J61" s="77">
        <f t="shared" si="5"/>
        <v>34691015.757259443</v>
      </c>
      <c r="K61" s="77">
        <f t="shared" si="4"/>
        <v>38646991.586507231</v>
      </c>
      <c r="L61" s="77">
        <f t="shared" si="6"/>
        <v>37841947.861486025</v>
      </c>
      <c r="M61" s="77">
        <f t="shared" si="7"/>
        <v>39971152.600699656</v>
      </c>
      <c r="N61" s="77">
        <f t="shared" si="8"/>
        <v>39168930.920925051</v>
      </c>
      <c r="O61" s="77">
        <v>811332.3877526935</v>
      </c>
      <c r="P61" s="70">
        <v>978483.54195288476</v>
      </c>
      <c r="Q61" s="70">
        <v>965164.77534641244</v>
      </c>
      <c r="R61" s="70">
        <f t="shared" si="9"/>
        <v>35502348.14501214</v>
      </c>
      <c r="S61" s="77">
        <f t="shared" si="10"/>
        <v>38820431.403438911</v>
      </c>
      <c r="T61" s="77">
        <f t="shared" si="11"/>
        <v>40134095.696271464</v>
      </c>
    </row>
    <row r="62" spans="1:20" x14ac:dyDescent="0.3">
      <c r="A62" s="47">
        <v>2128</v>
      </c>
      <c r="B62" s="48" t="s">
        <v>105</v>
      </c>
      <c r="C62" s="165">
        <v>245</v>
      </c>
      <c r="D62" s="73">
        <v>248</v>
      </c>
      <c r="E62" s="77">
        <v>254</v>
      </c>
      <c r="F62" s="73">
        <v>84.25</v>
      </c>
      <c r="G62" s="78">
        <v>90.76</v>
      </c>
      <c r="H62" s="67">
        <v>89.73</v>
      </c>
      <c r="I62" s="77">
        <f t="shared" si="3"/>
        <v>362015.95338194713</v>
      </c>
      <c r="J62" s="77">
        <f t="shared" si="5"/>
        <v>354705.88009739306</v>
      </c>
      <c r="K62" s="77">
        <f t="shared" si="4"/>
        <v>405575.77069700143</v>
      </c>
      <c r="L62" s="77">
        <f t="shared" si="6"/>
        <v>397127.34519693605</v>
      </c>
      <c r="M62" s="77">
        <f t="shared" si="7"/>
        <v>414983.55716708302</v>
      </c>
      <c r="N62" s="77">
        <f t="shared" si="8"/>
        <v>406654.83045672067</v>
      </c>
      <c r="O62" s="77">
        <v>5029.7208354931599</v>
      </c>
      <c r="P62" s="70">
        <v>6751.388008131511</v>
      </c>
      <c r="Q62" s="70">
        <v>6335.0113782285707</v>
      </c>
      <c r="R62" s="70">
        <f t="shared" si="9"/>
        <v>359735.60093288624</v>
      </c>
      <c r="S62" s="77">
        <f t="shared" si="10"/>
        <v>403878.73320506758</v>
      </c>
      <c r="T62" s="77">
        <f t="shared" si="11"/>
        <v>412989.84183494921</v>
      </c>
    </row>
    <row r="63" spans="1:20" x14ac:dyDescent="0.3">
      <c r="A63" s="47">
        <v>2129</v>
      </c>
      <c r="B63" s="48" t="s">
        <v>107</v>
      </c>
      <c r="C63" s="165">
        <v>735</v>
      </c>
      <c r="D63" s="73">
        <v>757</v>
      </c>
      <c r="E63" s="77">
        <v>776</v>
      </c>
      <c r="F63" s="73">
        <v>90.69</v>
      </c>
      <c r="G63" s="78">
        <v>96.65</v>
      </c>
      <c r="H63" s="67">
        <v>96.17</v>
      </c>
      <c r="I63" s="77">
        <f t="shared" si="3"/>
        <v>1169064.4562210841</v>
      </c>
      <c r="J63" s="77">
        <f t="shared" si="5"/>
        <v>1145457.9085827621</v>
      </c>
      <c r="K63" s="77">
        <f t="shared" si="4"/>
        <v>1318328.2907625902</v>
      </c>
      <c r="L63" s="77">
        <f t="shared" si="6"/>
        <v>1290866.5951834992</v>
      </c>
      <c r="M63" s="77">
        <f t="shared" si="7"/>
        <v>1358816.5943842242</v>
      </c>
      <c r="N63" s="77">
        <f t="shared" si="8"/>
        <v>1331545.1233375415</v>
      </c>
      <c r="O63" s="77">
        <v>18071.240245196142</v>
      </c>
      <c r="P63" s="70">
        <v>24246.227877489902</v>
      </c>
      <c r="Q63" s="70">
        <v>25077.050073851678</v>
      </c>
      <c r="R63" s="70">
        <f t="shared" si="9"/>
        <v>1163529.1488279582</v>
      </c>
      <c r="S63" s="77">
        <f t="shared" si="10"/>
        <v>1315112.8230609891</v>
      </c>
      <c r="T63" s="77">
        <f t="shared" si="11"/>
        <v>1356622.1734113931</v>
      </c>
    </row>
    <row r="64" spans="1:20" x14ac:dyDescent="0.3">
      <c r="A64" s="47">
        <v>2130</v>
      </c>
      <c r="B64" s="48" t="s">
        <v>109</v>
      </c>
      <c r="C64" s="165">
        <v>299</v>
      </c>
      <c r="D64" s="73">
        <v>301</v>
      </c>
      <c r="E64" s="77">
        <v>305</v>
      </c>
      <c r="F64" s="73">
        <v>71.11</v>
      </c>
      <c r="G64" s="78">
        <v>67.61</v>
      </c>
      <c r="H64" s="67">
        <v>67.680000000000007</v>
      </c>
      <c r="I64" s="77">
        <f t="shared" si="3"/>
        <v>372901.02968822559</v>
      </c>
      <c r="J64" s="77">
        <f t="shared" si="5"/>
        <v>365371.15751148592</v>
      </c>
      <c r="K64" s="77">
        <f t="shared" si="4"/>
        <v>366693.54549503588</v>
      </c>
      <c r="L64" s="77">
        <f t="shared" si="6"/>
        <v>359055.06379987538</v>
      </c>
      <c r="M64" s="77">
        <f t="shared" si="7"/>
        <v>375854.44787844701</v>
      </c>
      <c r="N64" s="77">
        <f t="shared" si="8"/>
        <v>368311.04302495462</v>
      </c>
      <c r="O64" s="77">
        <v>2858.9395993689004</v>
      </c>
      <c r="P64" s="70">
        <v>2493.1348630048033</v>
      </c>
      <c r="Q64" s="70">
        <v>2502.32221983619</v>
      </c>
      <c r="R64" s="70">
        <f t="shared" si="9"/>
        <v>368230.09711085481</v>
      </c>
      <c r="S64" s="77">
        <f t="shared" si="10"/>
        <v>361548.19866288017</v>
      </c>
      <c r="T64" s="77">
        <f t="shared" si="11"/>
        <v>370813.3652447908</v>
      </c>
    </row>
    <row r="65" spans="1:20" x14ac:dyDescent="0.3">
      <c r="A65" s="47">
        <v>2131</v>
      </c>
      <c r="B65" s="48" t="s">
        <v>111</v>
      </c>
      <c r="C65" s="165">
        <v>734</v>
      </c>
      <c r="D65" s="73">
        <v>767</v>
      </c>
      <c r="E65" s="77">
        <v>784</v>
      </c>
      <c r="F65" s="73">
        <v>88.42</v>
      </c>
      <c r="G65" s="78">
        <v>108.33</v>
      </c>
      <c r="H65" s="67">
        <v>107.09</v>
      </c>
      <c r="I65" s="77">
        <f t="shared" si="3"/>
        <v>1138251.6436240689</v>
      </c>
      <c r="J65" s="77">
        <f t="shared" si="5"/>
        <v>1115267.2893340874</v>
      </c>
      <c r="K65" s="77">
        <f t="shared" si="4"/>
        <v>1497165.9492234895</v>
      </c>
      <c r="L65" s="77">
        <f t="shared" si="6"/>
        <v>1465978.940784815</v>
      </c>
      <c r="M65" s="77">
        <f t="shared" si="7"/>
        <v>1528707.8156352683</v>
      </c>
      <c r="N65" s="77">
        <f t="shared" si="8"/>
        <v>1498026.6250277695</v>
      </c>
      <c r="O65" s="77">
        <v>17012.144174570458</v>
      </c>
      <c r="P65" s="70">
        <v>39883.017303238434</v>
      </c>
      <c r="Q65" s="70">
        <v>38505.46550327733</v>
      </c>
      <c r="R65" s="70">
        <f t="shared" si="9"/>
        <v>1132279.4335086579</v>
      </c>
      <c r="S65" s="77">
        <f t="shared" si="10"/>
        <v>1505861.9580880534</v>
      </c>
      <c r="T65" s="77">
        <f t="shared" si="11"/>
        <v>1536532.0905310467</v>
      </c>
    </row>
    <row r="66" spans="1:20" x14ac:dyDescent="0.3">
      <c r="A66" s="47">
        <v>2134</v>
      </c>
      <c r="B66" s="48" t="s">
        <v>114</v>
      </c>
      <c r="C66" s="165">
        <v>738</v>
      </c>
      <c r="D66" s="73">
        <v>778</v>
      </c>
      <c r="E66" s="77">
        <v>772</v>
      </c>
      <c r="F66" s="73">
        <v>92.45</v>
      </c>
      <c r="G66" s="78">
        <v>95.45</v>
      </c>
      <c r="H66" s="67">
        <v>96.42</v>
      </c>
      <c r="I66" s="77">
        <f t="shared" si="3"/>
        <v>1196616.5163901811</v>
      </c>
      <c r="J66" s="77">
        <f t="shared" si="5"/>
        <v>1172453.618742709</v>
      </c>
      <c r="K66" s="77">
        <f t="shared" si="4"/>
        <v>1338077.7951037297</v>
      </c>
      <c r="L66" s="77">
        <f t="shared" si="6"/>
        <v>1310204.7036076621</v>
      </c>
      <c r="M66" s="77">
        <f t="shared" si="7"/>
        <v>1355326.5069637042</v>
      </c>
      <c r="N66" s="77">
        <f t="shared" si="8"/>
        <v>1328125.0820280511</v>
      </c>
      <c r="O66" s="77">
        <v>19777.964366059266</v>
      </c>
      <c r="P66" s="70">
        <v>23500.753271226084</v>
      </c>
      <c r="Q66" s="70">
        <v>25442.249914253611</v>
      </c>
      <c r="R66" s="70">
        <f t="shared" si="9"/>
        <v>1192231.5831087683</v>
      </c>
      <c r="S66" s="77">
        <f t="shared" si="10"/>
        <v>1333705.4568788882</v>
      </c>
      <c r="T66" s="77">
        <f t="shared" si="11"/>
        <v>1353567.3319423047</v>
      </c>
    </row>
    <row r="67" spans="1:20" x14ac:dyDescent="0.3">
      <c r="A67" s="47">
        <v>2135</v>
      </c>
      <c r="B67" s="48" t="s">
        <v>116</v>
      </c>
      <c r="C67" s="165">
        <v>1867</v>
      </c>
      <c r="D67" s="77">
        <v>2027</v>
      </c>
      <c r="E67" s="77">
        <v>2077</v>
      </c>
      <c r="F67" s="73">
        <v>98.13</v>
      </c>
      <c r="G67" s="78">
        <v>103.16</v>
      </c>
      <c r="H67" s="67">
        <v>103.63</v>
      </c>
      <c r="I67" s="77">
        <f t="shared" si="3"/>
        <v>3213200.548345021</v>
      </c>
      <c r="J67" s="77">
        <f t="shared" si="5"/>
        <v>3148317.4091713461</v>
      </c>
      <c r="K67" s="77">
        <f t="shared" si="4"/>
        <v>3767826.6731402171</v>
      </c>
      <c r="L67" s="77">
        <f t="shared" si="6"/>
        <v>3689340.2219143976</v>
      </c>
      <c r="M67" s="77">
        <f t="shared" si="7"/>
        <v>3919056.2721717171</v>
      </c>
      <c r="N67" s="77">
        <f t="shared" si="8"/>
        <v>3840400.7493450437</v>
      </c>
      <c r="O67" s="77">
        <v>66539.495957697553</v>
      </c>
      <c r="P67" s="70">
        <v>81947.495758710458</v>
      </c>
      <c r="Q67" s="70">
        <v>85884.927711818498</v>
      </c>
      <c r="R67" s="70">
        <f t="shared" si="9"/>
        <v>3214856.9051290439</v>
      </c>
      <c r="S67" s="77">
        <f t="shared" si="10"/>
        <v>3771287.717673108</v>
      </c>
      <c r="T67" s="77">
        <f t="shared" si="11"/>
        <v>3926285.677056862</v>
      </c>
    </row>
    <row r="68" spans="1:20" x14ac:dyDescent="0.3">
      <c r="A68" s="47">
        <v>2137</v>
      </c>
      <c r="B68" s="48" t="s">
        <v>118</v>
      </c>
      <c r="C68" s="165">
        <v>562</v>
      </c>
      <c r="D68" s="73">
        <v>561</v>
      </c>
      <c r="E68" s="77">
        <v>583</v>
      </c>
      <c r="F68" s="73">
        <v>84.11</v>
      </c>
      <c r="G68" s="78">
        <v>95.84</v>
      </c>
      <c r="H68" s="67">
        <v>96.99</v>
      </c>
      <c r="I68" s="77">
        <f t="shared" si="3"/>
        <v>829040.34171830828</v>
      </c>
      <c r="J68" s="77">
        <f t="shared" si="5"/>
        <v>812299.79313972511</v>
      </c>
      <c r="K68" s="77">
        <f t="shared" si="4"/>
        <v>968803.05669152027</v>
      </c>
      <c r="L68" s="77">
        <f t="shared" si="6"/>
        <v>948622.21493505174</v>
      </c>
      <c r="M68" s="77">
        <f t="shared" si="7"/>
        <v>1029567.9596627776</v>
      </c>
      <c r="N68" s="77">
        <f t="shared" si="8"/>
        <v>1008904.5140450416</v>
      </c>
      <c r="O68" s="77">
        <v>11051.975091427592</v>
      </c>
      <c r="P68" s="70">
        <v>19212.134884205221</v>
      </c>
      <c r="Q68" s="70">
        <v>19836.945346088818</v>
      </c>
      <c r="R68" s="70">
        <f t="shared" si="9"/>
        <v>823351.76823115267</v>
      </c>
      <c r="S68" s="77">
        <f t="shared" si="10"/>
        <v>967834.34981925692</v>
      </c>
      <c r="T68" s="77">
        <f t="shared" si="11"/>
        <v>1028741.4593911305</v>
      </c>
    </row>
    <row r="69" spans="1:20" x14ac:dyDescent="0.3">
      <c r="A69" s="47">
        <v>2138</v>
      </c>
      <c r="B69" s="48" t="s">
        <v>120</v>
      </c>
      <c r="C69" s="165">
        <v>684</v>
      </c>
      <c r="D69" s="73">
        <v>667</v>
      </c>
      <c r="E69" s="77">
        <v>670</v>
      </c>
      <c r="F69" s="73">
        <v>110.75</v>
      </c>
      <c r="G69" s="78">
        <v>95.1</v>
      </c>
      <c r="H69" s="67">
        <v>96.52</v>
      </c>
      <c r="I69" s="77">
        <f t="shared" si="3"/>
        <v>1328591.7527544426</v>
      </c>
      <c r="J69" s="77">
        <f t="shared" si="5"/>
        <v>1301763.9210327773</v>
      </c>
      <c r="K69" s="77">
        <f t="shared" si="4"/>
        <v>1142963.0350037401</v>
      </c>
      <c r="L69" s="77">
        <f t="shared" si="6"/>
        <v>1119154.3197198783</v>
      </c>
      <c r="M69" s="77">
        <f t="shared" si="7"/>
        <v>1177474.7983365576</v>
      </c>
      <c r="N69" s="77">
        <f t="shared" si="8"/>
        <v>1153842.8600722284</v>
      </c>
      <c r="O69" s="77">
        <v>42053.022334737856</v>
      </c>
      <c r="P69" s="70">
        <v>22694.791411747385</v>
      </c>
      <c r="Q69" s="70">
        <v>23678.598770609267</v>
      </c>
      <c r="R69" s="70">
        <f t="shared" si="9"/>
        <v>1343816.9433675152</v>
      </c>
      <c r="S69" s="77">
        <f t="shared" si="10"/>
        <v>1141849.1111316257</v>
      </c>
      <c r="T69" s="77">
        <f t="shared" si="11"/>
        <v>1177521.4588428377</v>
      </c>
    </row>
    <row r="70" spans="1:20" x14ac:dyDescent="0.3">
      <c r="A70" s="47">
        <v>2140</v>
      </c>
      <c r="B70" s="48" t="s">
        <v>122</v>
      </c>
      <c r="C70" s="165">
        <v>1653</v>
      </c>
      <c r="D70" s="77">
        <v>1696</v>
      </c>
      <c r="E70" s="77">
        <v>1742</v>
      </c>
      <c r="F70" s="73">
        <v>113.32</v>
      </c>
      <c r="G70" s="78">
        <v>114.82</v>
      </c>
      <c r="H70" s="67">
        <v>115.55</v>
      </c>
      <c r="I70" s="77">
        <f t="shared" si="3"/>
        <v>3285270.5080826711</v>
      </c>
      <c r="J70" s="77">
        <f t="shared" si="5"/>
        <v>3218932.0830787024</v>
      </c>
      <c r="K70" s="77">
        <f t="shared" si="4"/>
        <v>3508885.7242010469</v>
      </c>
      <c r="L70" s="77">
        <f t="shared" si="6"/>
        <v>3435793.1931107156</v>
      </c>
      <c r="M70" s="77">
        <f t="shared" si="7"/>
        <v>3665030.6015774142</v>
      </c>
      <c r="N70" s="77">
        <f t="shared" si="8"/>
        <v>3591473.3780718981</v>
      </c>
      <c r="O70" s="77">
        <v>102000.40951646502</v>
      </c>
      <c r="P70" s="70">
        <v>111986.57386104547</v>
      </c>
      <c r="Q70" s="70">
        <v>117539.35324906348</v>
      </c>
      <c r="R70" s="70">
        <f t="shared" si="9"/>
        <v>3320932.4925951674</v>
      </c>
      <c r="S70" s="77">
        <f t="shared" si="10"/>
        <v>3547779.7669717609</v>
      </c>
      <c r="T70" s="77">
        <f t="shared" si="11"/>
        <v>3709012.7313209614</v>
      </c>
    </row>
    <row r="71" spans="1:20" x14ac:dyDescent="0.3">
      <c r="A71" s="47">
        <v>2143</v>
      </c>
      <c r="B71" s="48" t="s">
        <v>124</v>
      </c>
      <c r="C71" s="165">
        <v>590</v>
      </c>
      <c r="D71" s="73">
        <v>588</v>
      </c>
      <c r="E71" s="77">
        <v>571</v>
      </c>
      <c r="F71" s="73">
        <v>84.13</v>
      </c>
      <c r="G71" s="78">
        <v>103.22</v>
      </c>
      <c r="H71" s="67">
        <v>105.85</v>
      </c>
      <c r="I71" s="77">
        <f t="shared" si="3"/>
        <v>870551.79668061261</v>
      </c>
      <c r="J71" s="77">
        <f t="shared" si="5"/>
        <v>852973.02046292101</v>
      </c>
      <c r="K71" s="77">
        <f t="shared" si="4"/>
        <v>1093621.4377066137</v>
      </c>
      <c r="L71" s="77">
        <f t="shared" si="6"/>
        <v>1070840.5422259483</v>
      </c>
      <c r="M71" s="77">
        <f t="shared" si="7"/>
        <v>1100490.9496390966</v>
      </c>
      <c r="N71" s="77">
        <f t="shared" si="8"/>
        <v>1078404.0784643893</v>
      </c>
      <c r="O71" s="77">
        <v>12222.75200401533</v>
      </c>
      <c r="P71" s="70">
        <v>27088.655033466188</v>
      </c>
      <c r="Q71" s="70">
        <v>29542.422503296155</v>
      </c>
      <c r="R71" s="70">
        <f t="shared" si="9"/>
        <v>865195.77246693638</v>
      </c>
      <c r="S71" s="77">
        <f t="shared" si="10"/>
        <v>1097929.1972594145</v>
      </c>
      <c r="T71" s="77">
        <f t="shared" si="11"/>
        <v>1107946.5009676854</v>
      </c>
    </row>
    <row r="72" spans="1:20" x14ac:dyDescent="0.3">
      <c r="A72" s="47">
        <v>2145</v>
      </c>
      <c r="B72" s="48" t="s">
        <v>126</v>
      </c>
      <c r="C72" s="165">
        <v>1086</v>
      </c>
      <c r="D72" s="77">
        <v>1109</v>
      </c>
      <c r="E72" s="77">
        <v>1110</v>
      </c>
      <c r="F72" s="73">
        <v>108.94</v>
      </c>
      <c r="G72" s="78">
        <v>104.24</v>
      </c>
      <c r="H72" s="67">
        <v>105.59</v>
      </c>
      <c r="I72" s="77">
        <f t="shared" ref="I72:I135" si="12">(C72*F72*$F$7)/100</f>
        <v>2074956.0954938405</v>
      </c>
      <c r="J72" s="77">
        <f t="shared" si="5"/>
        <v>2033057.1654091517</v>
      </c>
      <c r="K72" s="77">
        <f t="shared" ref="K72:K135" si="13">(D72*G72*$G$7)/100</f>
        <v>2083012.0530679133</v>
      </c>
      <c r="L72" s="77">
        <f t="shared" si="6"/>
        <v>2039621.4626590256</v>
      </c>
      <c r="M72" s="77">
        <f t="shared" si="7"/>
        <v>2134053.3551403224</v>
      </c>
      <c r="N72" s="77">
        <f t="shared" si="8"/>
        <v>2091222.8697552367</v>
      </c>
      <c r="O72" s="77">
        <v>61305.609695868021</v>
      </c>
      <c r="P72" s="70">
        <v>52243.822450828171</v>
      </c>
      <c r="Q72" s="70">
        <v>53845.774569308604</v>
      </c>
      <c r="R72" s="70">
        <f t="shared" si="9"/>
        <v>2094362.7751050198</v>
      </c>
      <c r="S72" s="77">
        <f t="shared" si="10"/>
        <v>2091865.2851098538</v>
      </c>
      <c r="T72" s="77">
        <f t="shared" si="11"/>
        <v>2145068.6443245453</v>
      </c>
    </row>
    <row r="73" spans="1:20" x14ac:dyDescent="0.3">
      <c r="A73" s="47">
        <v>2147</v>
      </c>
      <c r="B73" s="48" t="s">
        <v>128</v>
      </c>
      <c r="C73" s="165">
        <v>584</v>
      </c>
      <c r="D73" s="73">
        <v>583</v>
      </c>
      <c r="E73" s="77">
        <v>605</v>
      </c>
      <c r="F73" s="73">
        <v>92.36</v>
      </c>
      <c r="G73" s="78">
        <v>102.8</v>
      </c>
      <c r="H73" s="67">
        <v>103.25</v>
      </c>
      <c r="I73" s="77">
        <f t="shared" si="12"/>
        <v>945994.22890301095</v>
      </c>
      <c r="J73" s="77">
        <f t="shared" ref="J73:J136" si="14">I73*$J$171</f>
        <v>926892.0675881746</v>
      </c>
      <c r="K73" s="77">
        <f t="shared" si="13"/>
        <v>1079909.8526298075</v>
      </c>
      <c r="L73" s="77">
        <f t="shared" ref="L73:L136" si="15">K73*$L$171</f>
        <v>1057414.5790067054</v>
      </c>
      <c r="M73" s="77">
        <f t="shared" ref="M73:M136" si="16">(E73*H73*$H$7)/100</f>
        <v>1137378.304111297</v>
      </c>
      <c r="N73" s="77">
        <f t="shared" ref="N73:N136" si="17">M73*$N$171</f>
        <v>1114551.1031351765</v>
      </c>
      <c r="O73" s="77">
        <v>16650.012089750027</v>
      </c>
      <c r="P73" s="70">
        <v>25747.041103712094</v>
      </c>
      <c r="Q73" s="70">
        <v>26473.034907335325</v>
      </c>
      <c r="R73" s="70">
        <f t="shared" ref="R73:R136" si="18">J73+O73</f>
        <v>943542.07967792463</v>
      </c>
      <c r="S73" s="77">
        <f t="shared" ref="S73:S136" si="19">L73+P73</f>
        <v>1083161.6201104175</v>
      </c>
      <c r="T73" s="77">
        <f t="shared" ref="T73:T136" si="20">N73+Q73</f>
        <v>1141024.1380425119</v>
      </c>
    </row>
    <row r="74" spans="1:20" x14ac:dyDescent="0.3">
      <c r="A74" s="47">
        <v>2148</v>
      </c>
      <c r="B74" s="48" t="s">
        <v>130</v>
      </c>
      <c r="C74" s="165">
        <v>2181</v>
      </c>
      <c r="D74" s="77">
        <v>2201</v>
      </c>
      <c r="E74" s="77">
        <v>2251</v>
      </c>
      <c r="F74" s="73">
        <v>95.64</v>
      </c>
      <c r="G74" s="78">
        <v>98.3</v>
      </c>
      <c r="H74" s="67">
        <v>97.74</v>
      </c>
      <c r="I74" s="77">
        <f t="shared" si="12"/>
        <v>3658364.2855612515</v>
      </c>
      <c r="J74" s="77">
        <f t="shared" si="14"/>
        <v>3584492.0962855681</v>
      </c>
      <c r="K74" s="77">
        <f t="shared" si="13"/>
        <v>3898516.6599074234</v>
      </c>
      <c r="L74" s="77">
        <f t="shared" si="15"/>
        <v>3817307.8453241731</v>
      </c>
      <c r="M74" s="77">
        <f t="shared" si="16"/>
        <v>4005966.6956809433</v>
      </c>
      <c r="N74" s="77">
        <f t="shared" si="17"/>
        <v>3925566.8792474782</v>
      </c>
      <c r="O74" s="77">
        <v>70863.593640182677</v>
      </c>
      <c r="P74" s="70">
        <v>81308.905148526916</v>
      </c>
      <c r="Q74" s="70">
        <v>79391.799943282502</v>
      </c>
      <c r="R74" s="70">
        <f t="shared" si="18"/>
        <v>3655355.6899257507</v>
      </c>
      <c r="S74" s="77">
        <f t="shared" si="19"/>
        <v>3898616.7504727002</v>
      </c>
      <c r="T74" s="77">
        <f t="shared" si="20"/>
        <v>4004958.6791907605</v>
      </c>
    </row>
    <row r="75" spans="1:20" x14ac:dyDescent="0.3">
      <c r="A75" s="47">
        <v>2149</v>
      </c>
      <c r="B75" s="48" t="s">
        <v>132</v>
      </c>
      <c r="C75" s="165">
        <v>1428</v>
      </c>
      <c r="D75" s="77">
        <v>1449</v>
      </c>
      <c r="E75" s="77">
        <v>1517</v>
      </c>
      <c r="F75" s="73">
        <v>112.55</v>
      </c>
      <c r="G75" s="78">
        <v>93.57</v>
      </c>
      <c r="H75" s="67">
        <v>94.88</v>
      </c>
      <c r="I75" s="77">
        <f t="shared" si="12"/>
        <v>2818807.5261857337</v>
      </c>
      <c r="J75" s="77">
        <f t="shared" si="14"/>
        <v>2761888.2401736882</v>
      </c>
      <c r="K75" s="77">
        <f t="shared" si="13"/>
        <v>2443041.5260429666</v>
      </c>
      <c r="L75" s="77">
        <f t="shared" si="15"/>
        <v>2392151.2712063193</v>
      </c>
      <c r="M75" s="77">
        <f t="shared" si="16"/>
        <v>2620714.8012009547</v>
      </c>
      <c r="N75" s="77">
        <f t="shared" si="17"/>
        <v>2568117.0127150458</v>
      </c>
      <c r="O75" s="77">
        <v>90541.647658748843</v>
      </c>
      <c r="P75" s="70">
        <v>43251.456556054174</v>
      </c>
      <c r="Q75" s="70">
        <v>46159.123696445582</v>
      </c>
      <c r="R75" s="70">
        <f t="shared" si="18"/>
        <v>2852429.8878324372</v>
      </c>
      <c r="S75" s="77">
        <f t="shared" si="19"/>
        <v>2435402.7277623736</v>
      </c>
      <c r="T75" s="77">
        <f t="shared" si="20"/>
        <v>2614276.1364114913</v>
      </c>
    </row>
    <row r="76" spans="1:20" x14ac:dyDescent="0.3">
      <c r="A76" s="47">
        <v>2152</v>
      </c>
      <c r="B76" s="48" t="s">
        <v>134</v>
      </c>
      <c r="C76" s="165">
        <v>1432</v>
      </c>
      <c r="D76" s="77">
        <v>1440</v>
      </c>
      <c r="E76" s="77">
        <v>1458</v>
      </c>
      <c r="F76" s="73">
        <v>111.39</v>
      </c>
      <c r="G76" s="78">
        <v>104.02</v>
      </c>
      <c r="H76" s="67">
        <v>104.59</v>
      </c>
      <c r="I76" s="77">
        <f t="shared" si="12"/>
        <v>2797569.8415363417</v>
      </c>
      <c r="J76" s="77">
        <f t="shared" si="14"/>
        <v>2741079.4013520312</v>
      </c>
      <c r="K76" s="77">
        <f t="shared" si="13"/>
        <v>2699014.2382683773</v>
      </c>
      <c r="L76" s="77">
        <f t="shared" si="15"/>
        <v>2642791.8937322646</v>
      </c>
      <c r="M76" s="77">
        <f t="shared" si="16"/>
        <v>2776560.8240252421</v>
      </c>
      <c r="N76" s="77">
        <f t="shared" si="17"/>
        <v>2720835.2033383148</v>
      </c>
      <c r="O76" s="77">
        <v>83792.453271132195</v>
      </c>
      <c r="P76" s="70">
        <v>65915.362537769877</v>
      </c>
      <c r="Q76" s="70">
        <v>68349.33820378127</v>
      </c>
      <c r="R76" s="70">
        <f t="shared" si="18"/>
        <v>2824871.8546231631</v>
      </c>
      <c r="S76" s="77">
        <f t="shared" si="19"/>
        <v>2708707.2562700347</v>
      </c>
      <c r="T76" s="77">
        <f t="shared" si="20"/>
        <v>2789184.5415420961</v>
      </c>
    </row>
    <row r="77" spans="1:20" x14ac:dyDescent="0.3">
      <c r="A77" s="47">
        <v>2153</v>
      </c>
      <c r="B77" s="48" t="s">
        <v>136</v>
      </c>
      <c r="C77" s="165">
        <v>949</v>
      </c>
      <c r="D77" s="77">
        <v>1006</v>
      </c>
      <c r="E77" s="77">
        <v>1031</v>
      </c>
      <c r="F77" s="73">
        <v>102.12</v>
      </c>
      <c r="G77" s="82">
        <v>94.68</v>
      </c>
      <c r="H77" s="67">
        <v>95.73</v>
      </c>
      <c r="I77" s="77">
        <f t="shared" si="12"/>
        <v>1699686.1446005865</v>
      </c>
      <c r="J77" s="77">
        <f t="shared" si="14"/>
        <v>1665364.9215669082</v>
      </c>
      <c r="K77" s="77">
        <f t="shared" si="13"/>
        <v>1716255.9823413065</v>
      </c>
      <c r="L77" s="77">
        <f t="shared" si="15"/>
        <v>1680505.1760716576</v>
      </c>
      <c r="M77" s="77">
        <f t="shared" si="16"/>
        <v>1797075.1090261426</v>
      </c>
      <c r="N77" s="77">
        <f t="shared" si="17"/>
        <v>1761007.7824957878</v>
      </c>
      <c r="O77" s="79">
        <v>41039.236006542902</v>
      </c>
      <c r="P77" s="70">
        <v>29934.543478620428</v>
      </c>
      <c r="Q77" s="70">
        <v>31789.894889619591</v>
      </c>
      <c r="R77" s="70">
        <f t="shared" si="18"/>
        <v>1706404.1575734511</v>
      </c>
      <c r="S77" s="77">
        <f t="shared" si="19"/>
        <v>1710439.719550278</v>
      </c>
      <c r="T77" s="77">
        <f t="shared" si="20"/>
        <v>1792797.6773854075</v>
      </c>
    </row>
    <row r="78" spans="1:20" x14ac:dyDescent="0.3">
      <c r="A78" s="47">
        <v>2155</v>
      </c>
      <c r="B78" s="48" t="s">
        <v>138</v>
      </c>
      <c r="C78" s="165">
        <v>1014</v>
      </c>
      <c r="D78" s="73">
        <v>994</v>
      </c>
      <c r="E78" s="77">
        <v>1035</v>
      </c>
      <c r="F78" s="73">
        <v>93.73</v>
      </c>
      <c r="G78" s="82">
        <v>104.15</v>
      </c>
      <c r="H78" s="67">
        <v>103.77</v>
      </c>
      <c r="I78" s="77">
        <f t="shared" si="12"/>
        <v>1666895.1679203906</v>
      </c>
      <c r="J78" s="77">
        <f t="shared" si="14"/>
        <v>1633236.0826747436</v>
      </c>
      <c r="K78" s="77">
        <f t="shared" si="13"/>
        <v>1865397.9397535571</v>
      </c>
      <c r="L78" s="77">
        <f t="shared" si="15"/>
        <v>1826540.4027392042</v>
      </c>
      <c r="M78" s="77">
        <f t="shared" si="16"/>
        <v>1955562.3676664808</v>
      </c>
      <c r="N78" s="77">
        <f t="shared" si="17"/>
        <v>1916314.1992895212</v>
      </c>
      <c r="O78" s="77">
        <v>30204.022007681451</v>
      </c>
      <c r="P78" s="70">
        <v>47875.694814317794</v>
      </c>
      <c r="Q78" s="70">
        <v>46898.166679390401</v>
      </c>
      <c r="R78" s="70">
        <f t="shared" si="18"/>
        <v>1663440.104682425</v>
      </c>
      <c r="S78" s="77">
        <f t="shared" si="19"/>
        <v>1874416.0975535221</v>
      </c>
      <c r="T78" s="77">
        <f t="shared" si="20"/>
        <v>1963212.3659689117</v>
      </c>
    </row>
    <row r="79" spans="1:20" x14ac:dyDescent="0.3">
      <c r="A79" s="47">
        <v>2160</v>
      </c>
      <c r="B79" s="48" t="s">
        <v>140</v>
      </c>
      <c r="C79" s="165">
        <v>2045</v>
      </c>
      <c r="D79" s="77">
        <v>2153</v>
      </c>
      <c r="E79" s="77">
        <v>2204</v>
      </c>
      <c r="F79" s="73">
        <v>107.6</v>
      </c>
      <c r="G79" s="82">
        <v>110.66</v>
      </c>
      <c r="H79" s="67">
        <v>110.59</v>
      </c>
      <c r="I79" s="77">
        <f t="shared" si="12"/>
        <v>3859200.1169536924</v>
      </c>
      <c r="J79" s="77">
        <f t="shared" si="14"/>
        <v>3781272.5134568186</v>
      </c>
      <c r="K79" s="77">
        <f t="shared" si="13"/>
        <v>4292996.4543503551</v>
      </c>
      <c r="L79" s="77">
        <f t="shared" si="15"/>
        <v>4203570.3511729054</v>
      </c>
      <c r="M79" s="77">
        <f t="shared" si="16"/>
        <v>4437996.474900879</v>
      </c>
      <c r="N79" s="77">
        <f t="shared" si="17"/>
        <v>4348925.8138044951</v>
      </c>
      <c r="O79" s="77">
        <v>103521.31720190863</v>
      </c>
      <c r="P79" s="79">
        <v>120211.58563497048</v>
      </c>
      <c r="Q79" s="79">
        <v>122007.7416542804</v>
      </c>
      <c r="R79" s="70">
        <f t="shared" si="18"/>
        <v>3884793.8306587273</v>
      </c>
      <c r="S79" s="77">
        <f t="shared" si="19"/>
        <v>4323781.9368078755</v>
      </c>
      <c r="T79" s="77">
        <f t="shared" si="20"/>
        <v>4470933.5554587757</v>
      </c>
    </row>
    <row r="80" spans="1:20" x14ac:dyDescent="0.3">
      <c r="A80" s="47">
        <v>2162</v>
      </c>
      <c r="B80" s="48" t="s">
        <v>112</v>
      </c>
      <c r="C80" s="165">
        <v>1165</v>
      </c>
      <c r="D80" s="77">
        <v>1190</v>
      </c>
      <c r="E80" s="77">
        <v>1225</v>
      </c>
      <c r="F80" s="73">
        <v>93.94</v>
      </c>
      <c r="G80" s="82">
        <v>87.07</v>
      </c>
      <c r="H80" s="67">
        <v>88.39</v>
      </c>
      <c r="I80" s="77">
        <f t="shared" si="12"/>
        <v>1919411.9609866471</v>
      </c>
      <c r="J80" s="77">
        <f t="shared" si="14"/>
        <v>1880653.8842583031</v>
      </c>
      <c r="K80" s="77">
        <f t="shared" si="13"/>
        <v>1866987.1978009895</v>
      </c>
      <c r="L80" s="77">
        <f t="shared" si="15"/>
        <v>1828096.5554357152</v>
      </c>
      <c r="M80" s="77">
        <f t="shared" si="16"/>
        <v>1971508.8334578592</v>
      </c>
      <c r="N80" s="77">
        <f t="shared" si="17"/>
        <v>1931940.6192543153</v>
      </c>
      <c r="O80" s="77">
        <v>33647.571014922934</v>
      </c>
      <c r="P80" s="70">
        <v>25896.399169874741</v>
      </c>
      <c r="Q80" s="70">
        <v>28364.106334739921</v>
      </c>
      <c r="R80" s="70">
        <f t="shared" si="18"/>
        <v>1914301.4552732261</v>
      </c>
      <c r="S80" s="77">
        <f t="shared" si="19"/>
        <v>1853992.9546055901</v>
      </c>
      <c r="T80" s="77">
        <f t="shared" si="20"/>
        <v>1960304.7255890551</v>
      </c>
    </row>
    <row r="81" spans="1:20" s="107" customFormat="1" x14ac:dyDescent="0.3">
      <c r="A81" s="58">
        <v>2163</v>
      </c>
      <c r="B81" s="59" t="s">
        <v>387</v>
      </c>
      <c r="C81" s="165">
        <f>346+1852</f>
        <v>2198</v>
      </c>
      <c r="D81" s="106">
        <f>348+1947</f>
        <v>2295</v>
      </c>
      <c r="E81" s="106">
        <v>2354</v>
      </c>
      <c r="F81" s="81">
        <v>95.87</v>
      </c>
      <c r="G81" s="84">
        <v>90.73</v>
      </c>
      <c r="H81" s="68">
        <v>90.96</v>
      </c>
      <c r="I81" s="106">
        <f t="shared" si="12"/>
        <v>3695746.1322690505</v>
      </c>
      <c r="J81" s="77">
        <f t="shared" si="14"/>
        <v>3621119.1032234812</v>
      </c>
      <c r="K81" s="106">
        <f t="shared" si="13"/>
        <v>3751970.6708272998</v>
      </c>
      <c r="L81" s="77">
        <f t="shared" si="15"/>
        <v>3673814.5111621409</v>
      </c>
      <c r="M81" s="77">
        <f t="shared" si="16"/>
        <v>3898669.4494352108</v>
      </c>
      <c r="N81" s="77">
        <f t="shared" si="17"/>
        <v>3820423.0904708938</v>
      </c>
      <c r="O81" s="83">
        <f>5063+70414</f>
        <v>75477</v>
      </c>
      <c r="P81" s="71">
        <f>6911+53343</f>
        <v>60254</v>
      </c>
      <c r="Q81" s="71">
        <f>6725+53800</f>
        <v>60525</v>
      </c>
      <c r="R81" s="70">
        <f t="shared" si="18"/>
        <v>3696596.1032234812</v>
      </c>
      <c r="S81" s="77">
        <f t="shared" si="19"/>
        <v>3734068.5111621409</v>
      </c>
      <c r="T81" s="77">
        <f t="shared" si="20"/>
        <v>3880948.0904708938</v>
      </c>
    </row>
    <row r="82" spans="1:20" x14ac:dyDescent="0.3">
      <c r="A82" s="47">
        <v>2171</v>
      </c>
      <c r="B82" s="48" t="s">
        <v>142</v>
      </c>
      <c r="C82" s="165">
        <v>770</v>
      </c>
      <c r="D82" s="73">
        <v>762</v>
      </c>
      <c r="E82" s="77">
        <v>782</v>
      </c>
      <c r="F82" s="80">
        <v>94.55</v>
      </c>
      <c r="G82" s="78">
        <v>91.74</v>
      </c>
      <c r="H82" s="67">
        <v>92.77</v>
      </c>
      <c r="I82" s="77">
        <f t="shared" si="12"/>
        <v>1276862.0341327481</v>
      </c>
      <c r="J82" s="77">
        <f t="shared" si="14"/>
        <v>1251078.7642061675</v>
      </c>
      <c r="K82" s="77">
        <f t="shared" si="13"/>
        <v>1259619.9813249093</v>
      </c>
      <c r="L82" s="77">
        <f t="shared" si="15"/>
        <v>1233381.2206801872</v>
      </c>
      <c r="M82" s="77">
        <f t="shared" si="16"/>
        <v>1320911.7832913091</v>
      </c>
      <c r="N82" s="77">
        <f t="shared" si="17"/>
        <v>1294401.0624168885</v>
      </c>
      <c r="O82" s="77">
        <v>23807.247913548352</v>
      </c>
      <c r="P82" s="70">
        <v>22088.658113199806</v>
      </c>
      <c r="Q82" s="70">
        <v>22748.438725355754</v>
      </c>
      <c r="R82" s="70">
        <f t="shared" si="18"/>
        <v>1274886.0121197158</v>
      </c>
      <c r="S82" s="77">
        <f t="shared" si="19"/>
        <v>1255469.878793387</v>
      </c>
      <c r="T82" s="77">
        <f t="shared" si="20"/>
        <v>1317149.5011422443</v>
      </c>
    </row>
    <row r="83" spans="1:20" x14ac:dyDescent="0.3">
      <c r="A83" s="47">
        <v>2172</v>
      </c>
      <c r="B83" s="48" t="s">
        <v>144</v>
      </c>
      <c r="C83" s="165">
        <v>77</v>
      </c>
      <c r="D83" s="73">
        <v>74</v>
      </c>
      <c r="E83" s="77">
        <v>71</v>
      </c>
      <c r="F83" s="73">
        <v>102.57</v>
      </c>
      <c r="G83" s="78">
        <v>96.41</v>
      </c>
      <c r="H83" s="67">
        <v>96.03</v>
      </c>
      <c r="I83" s="77">
        <f t="shared" si="12"/>
        <v>138516.91046112741</v>
      </c>
      <c r="J83" s="77">
        <f t="shared" si="14"/>
        <v>135719.88243746862</v>
      </c>
      <c r="K83" s="77">
        <f t="shared" si="13"/>
        <v>128552.23648662394</v>
      </c>
      <c r="L83" s="77">
        <f t="shared" si="15"/>
        <v>125874.40395496758</v>
      </c>
      <c r="M83" s="77">
        <f t="shared" si="16"/>
        <v>124143.72779877705</v>
      </c>
      <c r="N83" s="77">
        <f t="shared" si="17"/>
        <v>121652.1611721376</v>
      </c>
      <c r="O83" s="77">
        <v>3049.6833383940266</v>
      </c>
      <c r="P83" s="70">
        <v>2515.9432444195522</v>
      </c>
      <c r="Q83" s="70">
        <v>2611.8551297397794</v>
      </c>
      <c r="R83" s="70">
        <f t="shared" si="18"/>
        <v>138769.56577586266</v>
      </c>
      <c r="S83" s="77">
        <f t="shared" si="19"/>
        <v>128390.34719938714</v>
      </c>
      <c r="T83" s="77">
        <f t="shared" si="20"/>
        <v>124264.01630187737</v>
      </c>
    </row>
    <row r="84" spans="1:20" x14ac:dyDescent="0.3">
      <c r="A84" s="47">
        <v>2173</v>
      </c>
      <c r="B84" s="48" t="s">
        <v>146</v>
      </c>
      <c r="C84" s="165">
        <v>711</v>
      </c>
      <c r="D84" s="73">
        <v>710</v>
      </c>
      <c r="E84" s="77">
        <v>768</v>
      </c>
      <c r="F84" s="73">
        <v>94.94</v>
      </c>
      <c r="G84" s="78">
        <v>96.67</v>
      </c>
      <c r="H84" s="67">
        <v>97.05</v>
      </c>
      <c r="I84" s="77">
        <f t="shared" si="12"/>
        <v>1183887.7960691499</v>
      </c>
      <c r="J84" s="77">
        <f t="shared" si="14"/>
        <v>1159981.9254324934</v>
      </c>
      <c r="K84" s="77">
        <f t="shared" si="13"/>
        <v>1236732.8635620077</v>
      </c>
      <c r="L84" s="77">
        <f t="shared" si="15"/>
        <v>1210970.8575049643</v>
      </c>
      <c r="M84" s="77">
        <f t="shared" si="16"/>
        <v>1357113.7929674513</v>
      </c>
      <c r="N84" s="77">
        <f t="shared" si="17"/>
        <v>1329876.4971727692</v>
      </c>
      <c r="O84" s="77">
        <v>22547.892124211954</v>
      </c>
      <c r="P84" s="70">
        <v>24336.947672109971</v>
      </c>
      <c r="Q84" s="70">
        <v>25158.364414339256</v>
      </c>
      <c r="R84" s="70">
        <f t="shared" si="18"/>
        <v>1182529.8175567053</v>
      </c>
      <c r="S84" s="77">
        <f t="shared" si="19"/>
        <v>1235307.8051770744</v>
      </c>
      <c r="T84" s="77">
        <f t="shared" si="20"/>
        <v>1355034.8615871083</v>
      </c>
    </row>
    <row r="85" spans="1:20" x14ac:dyDescent="0.3">
      <c r="A85" s="47">
        <v>2174</v>
      </c>
      <c r="B85" s="48" t="s">
        <v>148</v>
      </c>
      <c r="C85" s="165">
        <v>1770</v>
      </c>
      <c r="D85" s="77">
        <v>1844</v>
      </c>
      <c r="E85" s="77">
        <v>1846</v>
      </c>
      <c r="F85" s="73">
        <v>95.45</v>
      </c>
      <c r="G85" s="78">
        <v>106.39</v>
      </c>
      <c r="H85" s="67">
        <v>106.4</v>
      </c>
      <c r="I85" s="77">
        <f t="shared" si="12"/>
        <v>2963063.1995660691</v>
      </c>
      <c r="J85" s="77">
        <f t="shared" si="14"/>
        <v>2903231.0045115585</v>
      </c>
      <c r="K85" s="77">
        <f t="shared" si="13"/>
        <v>3534984.8730244399</v>
      </c>
      <c r="L85" s="77">
        <f t="shared" si="15"/>
        <v>3461348.6785045341</v>
      </c>
      <c r="M85" s="77">
        <f t="shared" si="16"/>
        <v>3576290.8318498065</v>
      </c>
      <c r="N85" s="77">
        <f t="shared" si="17"/>
        <v>3504514.6169592994</v>
      </c>
      <c r="O85" s="77">
        <v>56016.332302978299</v>
      </c>
      <c r="P85" s="70">
        <v>88350.219114076084</v>
      </c>
      <c r="Q85" s="70">
        <v>90483.714774894499</v>
      </c>
      <c r="R85" s="70">
        <f t="shared" si="18"/>
        <v>2959247.3368145367</v>
      </c>
      <c r="S85" s="77">
        <f t="shared" si="19"/>
        <v>3549698.8976186099</v>
      </c>
      <c r="T85" s="77">
        <f t="shared" si="20"/>
        <v>3594998.331734194</v>
      </c>
    </row>
    <row r="86" spans="1:20" x14ac:dyDescent="0.3">
      <c r="A86" s="47">
        <v>2175</v>
      </c>
      <c r="B86" s="48" t="s">
        <v>150</v>
      </c>
      <c r="C86" s="165">
        <v>2789</v>
      </c>
      <c r="D86" s="77">
        <v>2862</v>
      </c>
      <c r="E86" s="77">
        <v>2992</v>
      </c>
      <c r="F86" s="73">
        <v>99.83</v>
      </c>
      <c r="G86" s="78">
        <v>104.86</v>
      </c>
      <c r="H86" s="67">
        <v>103.42</v>
      </c>
      <c r="I86" s="77">
        <f t="shared" si="12"/>
        <v>4883163.8962876797</v>
      </c>
      <c r="J86" s="77">
        <f t="shared" si="14"/>
        <v>4784559.7170826541</v>
      </c>
      <c r="K86" s="77">
        <f t="shared" si="13"/>
        <v>5407609.4321941342</v>
      </c>
      <c r="L86" s="77">
        <f t="shared" si="15"/>
        <v>5294965.1651492119</v>
      </c>
      <c r="M86" s="77">
        <f t="shared" si="16"/>
        <v>5634113.9626579396</v>
      </c>
      <c r="N86" s="77">
        <f t="shared" si="17"/>
        <v>5521037.2042187573</v>
      </c>
      <c r="O86" s="77">
        <v>102485.17051131518</v>
      </c>
      <c r="P86" s="70">
        <v>133157.93970385374</v>
      </c>
      <c r="Q86" s="70">
        <v>127261.57444141762</v>
      </c>
      <c r="R86" s="70">
        <f t="shared" si="18"/>
        <v>4887044.8875939697</v>
      </c>
      <c r="S86" s="77">
        <f t="shared" si="19"/>
        <v>5428123.1048530657</v>
      </c>
      <c r="T86" s="77">
        <f t="shared" si="20"/>
        <v>5648298.7786601754</v>
      </c>
    </row>
    <row r="87" spans="1:20" x14ac:dyDescent="0.3">
      <c r="A87" s="47">
        <v>2177</v>
      </c>
      <c r="B87" s="48" t="s">
        <v>152</v>
      </c>
      <c r="C87" s="165">
        <v>661</v>
      </c>
      <c r="D87" s="73">
        <v>702</v>
      </c>
      <c r="E87" s="77">
        <v>705</v>
      </c>
      <c r="F87" s="73">
        <v>100.11</v>
      </c>
      <c r="G87" s="78">
        <v>102.83</v>
      </c>
      <c r="H87" s="67">
        <v>101.94</v>
      </c>
      <c r="I87" s="77">
        <f t="shared" si="12"/>
        <v>1160568.1195914545</v>
      </c>
      <c r="J87" s="77">
        <f t="shared" si="14"/>
        <v>1137133.1357829378</v>
      </c>
      <c r="K87" s="77">
        <f t="shared" si="13"/>
        <v>1300716.8970780082</v>
      </c>
      <c r="L87" s="77">
        <f t="shared" si="15"/>
        <v>1273622.0590832368</v>
      </c>
      <c r="M87" s="77">
        <f t="shared" si="16"/>
        <v>1308558.8257079537</v>
      </c>
      <c r="N87" s="77">
        <f t="shared" si="17"/>
        <v>1282296.0288922086</v>
      </c>
      <c r="O87" s="77">
        <v>26070.384497461557</v>
      </c>
      <c r="P87" s="70">
        <v>29756.733046937876</v>
      </c>
      <c r="Q87" s="70">
        <v>28471.517841241013</v>
      </c>
      <c r="R87" s="70">
        <f t="shared" si="18"/>
        <v>1163203.5202803994</v>
      </c>
      <c r="S87" s="77">
        <f t="shared" si="19"/>
        <v>1303378.7921301748</v>
      </c>
      <c r="T87" s="77">
        <f t="shared" si="20"/>
        <v>1310767.5467334497</v>
      </c>
    </row>
    <row r="88" spans="1:20" x14ac:dyDescent="0.3">
      <c r="A88" s="47">
        <v>2179</v>
      </c>
      <c r="B88" s="48" t="s">
        <v>154</v>
      </c>
      <c r="C88" s="165">
        <v>120</v>
      </c>
      <c r="D88" s="73">
        <v>126</v>
      </c>
      <c r="E88" s="77">
        <v>132</v>
      </c>
      <c r="F88" s="73">
        <v>99.97</v>
      </c>
      <c r="G88" s="78">
        <v>87.74</v>
      </c>
      <c r="H88" s="67">
        <v>88.46</v>
      </c>
      <c r="I88" s="77">
        <f t="shared" si="12"/>
        <v>210398.5070260372</v>
      </c>
      <c r="J88" s="77">
        <f t="shared" si="14"/>
        <v>206149.99672986692</v>
      </c>
      <c r="K88" s="77">
        <f t="shared" si="13"/>
        <v>199202.14440247935</v>
      </c>
      <c r="L88" s="77">
        <f t="shared" si="15"/>
        <v>195052.62513128275</v>
      </c>
      <c r="M88" s="77">
        <f t="shared" si="16"/>
        <v>212608.37638216576</v>
      </c>
      <c r="N88" s="77">
        <f t="shared" si="17"/>
        <v>208341.32282633544</v>
      </c>
      <c r="O88" s="77">
        <v>4985.5493058882366</v>
      </c>
      <c r="P88" s="70">
        <v>2708.6255812935119</v>
      </c>
      <c r="Q88" s="70">
        <v>2930.8907486907169</v>
      </c>
      <c r="R88" s="70">
        <f t="shared" si="18"/>
        <v>211135.54603575516</v>
      </c>
      <c r="S88" s="77">
        <f t="shared" si="19"/>
        <v>197761.25071257626</v>
      </c>
      <c r="T88" s="77">
        <f t="shared" si="20"/>
        <v>211272.21357502617</v>
      </c>
    </row>
    <row r="89" spans="1:20" x14ac:dyDescent="0.3">
      <c r="A89" s="47">
        <v>2183</v>
      </c>
      <c r="B89" s="48" t="s">
        <v>156</v>
      </c>
      <c r="C89" s="165">
        <v>2142</v>
      </c>
      <c r="D89" s="77">
        <v>2140</v>
      </c>
      <c r="E89" s="77">
        <v>2180</v>
      </c>
      <c r="F89" s="73">
        <v>94.71</v>
      </c>
      <c r="G89" s="78">
        <v>103.89</v>
      </c>
      <c r="H89" s="67">
        <v>104.32</v>
      </c>
      <c r="I89" s="77">
        <f t="shared" si="12"/>
        <v>3558008.8068198687</v>
      </c>
      <c r="J89" s="77">
        <f t="shared" si="14"/>
        <v>3486163.0638851621</v>
      </c>
      <c r="K89" s="77">
        <f t="shared" si="13"/>
        <v>4006022.2187327873</v>
      </c>
      <c r="L89" s="77">
        <f t="shared" si="15"/>
        <v>3922573.9885576782</v>
      </c>
      <c r="M89" s="77">
        <f t="shared" si="16"/>
        <v>4140793.5359183764</v>
      </c>
      <c r="N89" s="77">
        <f t="shared" si="17"/>
        <v>4057687.7426186828</v>
      </c>
      <c r="O89" s="77">
        <v>68597.053265248003</v>
      </c>
      <c r="P89" s="70">
        <v>100547.06830372399</v>
      </c>
      <c r="Q89" s="70">
        <v>101185.99903217066</v>
      </c>
      <c r="R89" s="70">
        <f t="shared" si="18"/>
        <v>3554760.1171504101</v>
      </c>
      <c r="S89" s="77">
        <f t="shared" si="19"/>
        <v>4023121.056861402</v>
      </c>
      <c r="T89" s="77">
        <f t="shared" si="20"/>
        <v>4158873.7416508533</v>
      </c>
    </row>
    <row r="90" spans="1:20" x14ac:dyDescent="0.3">
      <c r="A90" s="47">
        <v>2184</v>
      </c>
      <c r="B90" s="48" t="s">
        <v>158</v>
      </c>
      <c r="C90" s="165">
        <v>1193</v>
      </c>
      <c r="D90" s="77">
        <v>1237</v>
      </c>
      <c r="E90" s="77">
        <v>1264</v>
      </c>
      <c r="F90" s="73">
        <v>84.91</v>
      </c>
      <c r="G90" s="78">
        <v>105.32</v>
      </c>
      <c r="H90" s="67">
        <v>105.02</v>
      </c>
      <c r="I90" s="77">
        <f t="shared" si="12"/>
        <v>1776605.491420419</v>
      </c>
      <c r="J90" s="77">
        <f t="shared" si="14"/>
        <v>1740731.060421732</v>
      </c>
      <c r="K90" s="77">
        <f t="shared" si="13"/>
        <v>2347504.2335178889</v>
      </c>
      <c r="L90" s="77">
        <f t="shared" si="15"/>
        <v>2298604.0869586393</v>
      </c>
      <c r="M90" s="77">
        <f t="shared" si="16"/>
        <v>2417010.8089597067</v>
      </c>
      <c r="N90" s="77">
        <f t="shared" si="17"/>
        <v>2368501.36289577</v>
      </c>
      <c r="O90" s="77">
        <v>23849.519103867842</v>
      </c>
      <c r="P90" s="70">
        <v>57727.320959538221</v>
      </c>
      <c r="Q90" s="70">
        <v>57884.081103509736</v>
      </c>
      <c r="R90" s="70">
        <f t="shared" si="18"/>
        <v>1764580.5795256</v>
      </c>
      <c r="S90" s="77">
        <f t="shared" si="19"/>
        <v>2356331.4079181775</v>
      </c>
      <c r="T90" s="77">
        <f t="shared" si="20"/>
        <v>2426385.4439992798</v>
      </c>
    </row>
    <row r="91" spans="1:20" x14ac:dyDescent="0.3">
      <c r="A91" s="47">
        <v>2185</v>
      </c>
      <c r="B91" s="48" t="s">
        <v>160</v>
      </c>
      <c r="C91" s="165">
        <v>347</v>
      </c>
      <c r="D91" s="73">
        <v>384</v>
      </c>
      <c r="E91" s="77">
        <v>390</v>
      </c>
      <c r="F91" s="73">
        <v>84.76</v>
      </c>
      <c r="G91" s="78">
        <v>101.2</v>
      </c>
      <c r="H91" s="67">
        <v>103.19</v>
      </c>
      <c r="I91" s="77">
        <f t="shared" si="12"/>
        <v>515836.58239703899</v>
      </c>
      <c r="J91" s="77">
        <f t="shared" si="14"/>
        <v>505420.45795570017</v>
      </c>
      <c r="K91" s="77">
        <f t="shared" si="13"/>
        <v>700224.93344295281</v>
      </c>
      <c r="L91" s="77">
        <f t="shared" si="15"/>
        <v>685638.76086830802</v>
      </c>
      <c r="M91" s="77">
        <f t="shared" si="16"/>
        <v>732759.94970860973</v>
      </c>
      <c r="N91" s="77">
        <f t="shared" si="17"/>
        <v>718053.44565557165</v>
      </c>
      <c r="O91" s="77">
        <v>6574.7419113225842</v>
      </c>
      <c r="P91" s="70">
        <v>14084.458216842586</v>
      </c>
      <c r="Q91" s="70">
        <v>15693.165993230967</v>
      </c>
      <c r="R91" s="70">
        <f t="shared" si="18"/>
        <v>511995.19986702275</v>
      </c>
      <c r="S91" s="77">
        <f t="shared" si="19"/>
        <v>699723.21908515063</v>
      </c>
      <c r="T91" s="77">
        <f t="shared" si="20"/>
        <v>733746.61164880265</v>
      </c>
    </row>
    <row r="92" spans="1:20" x14ac:dyDescent="0.3">
      <c r="A92" s="47">
        <v>2186</v>
      </c>
      <c r="B92" s="48" t="s">
        <v>162</v>
      </c>
      <c r="C92" s="165">
        <v>1350</v>
      </c>
      <c r="D92" s="77">
        <v>1385</v>
      </c>
      <c r="E92" s="77">
        <v>1421</v>
      </c>
      <c r="F92" s="73">
        <v>92.01</v>
      </c>
      <c r="G92" s="78">
        <v>113.81</v>
      </c>
      <c r="H92" s="67">
        <v>113.69</v>
      </c>
      <c r="I92" s="77">
        <f t="shared" si="12"/>
        <v>2178514.8004800333</v>
      </c>
      <c r="J92" s="77">
        <f t="shared" si="14"/>
        <v>2134524.7423231406</v>
      </c>
      <c r="K92" s="77">
        <f t="shared" si="13"/>
        <v>2840246.4836048745</v>
      </c>
      <c r="L92" s="77">
        <f t="shared" si="15"/>
        <v>2781082.1731301118</v>
      </c>
      <c r="M92" s="77">
        <f t="shared" si="16"/>
        <v>2941547.3872605027</v>
      </c>
      <c r="N92" s="77">
        <f t="shared" si="17"/>
        <v>2882510.4835785357</v>
      </c>
      <c r="O92" s="77">
        <v>36032.14256382973</v>
      </c>
      <c r="P92" s="70">
        <v>89776.268366201737</v>
      </c>
      <c r="Q92" s="70">
        <v>89960.835100943019</v>
      </c>
      <c r="R92" s="70">
        <f t="shared" si="18"/>
        <v>2170556.8848869703</v>
      </c>
      <c r="S92" s="77">
        <f t="shared" si="19"/>
        <v>2870858.4414963135</v>
      </c>
      <c r="T92" s="77">
        <f t="shared" si="20"/>
        <v>2972471.318679479</v>
      </c>
    </row>
    <row r="93" spans="1:20" x14ac:dyDescent="0.3">
      <c r="A93" s="47">
        <v>2189</v>
      </c>
      <c r="B93" s="48" t="s">
        <v>164</v>
      </c>
      <c r="C93" s="165">
        <v>1071</v>
      </c>
      <c r="D93" s="77">
        <v>1095</v>
      </c>
      <c r="E93" s="77">
        <v>1100</v>
      </c>
      <c r="F93" s="73">
        <v>102.77</v>
      </c>
      <c r="G93" s="78">
        <v>100.79</v>
      </c>
      <c r="H93" s="67">
        <v>100.87</v>
      </c>
      <c r="I93" s="77">
        <f t="shared" si="12"/>
        <v>1930401.0404227534</v>
      </c>
      <c r="J93" s="77">
        <f t="shared" si="14"/>
        <v>1891421.0647000219</v>
      </c>
      <c r="K93" s="77">
        <f t="shared" si="13"/>
        <v>1988645.6220839035</v>
      </c>
      <c r="L93" s="77">
        <f t="shared" si="15"/>
        <v>1947220.7500918368</v>
      </c>
      <c r="M93" s="77">
        <f t="shared" si="16"/>
        <v>2020292.3096756598</v>
      </c>
      <c r="N93" s="77">
        <f t="shared" si="17"/>
        <v>1979745.0103146865</v>
      </c>
      <c r="O93" s="77">
        <v>47573.040938147657</v>
      </c>
      <c r="P93" s="70">
        <v>42658.019520845002</v>
      </c>
      <c r="Q93" s="70">
        <v>44225.036297485683</v>
      </c>
      <c r="R93" s="70">
        <f t="shared" si="18"/>
        <v>1938994.1056381695</v>
      </c>
      <c r="S93" s="77">
        <f t="shared" si="19"/>
        <v>1989878.7696126818</v>
      </c>
      <c r="T93" s="77">
        <f t="shared" si="20"/>
        <v>2023970.0466121722</v>
      </c>
    </row>
    <row r="94" spans="1:20" x14ac:dyDescent="0.3">
      <c r="A94" s="47">
        <v>2192</v>
      </c>
      <c r="B94" s="48" t="s">
        <v>381</v>
      </c>
      <c r="C94" s="165">
        <v>2114</v>
      </c>
      <c r="D94" s="77">
        <v>2130</v>
      </c>
      <c r="E94" s="77">
        <v>2168</v>
      </c>
      <c r="F94" s="73">
        <v>110.91</v>
      </c>
      <c r="G94" s="78">
        <v>103.87</v>
      </c>
      <c r="H94" s="67">
        <v>104.14</v>
      </c>
      <c r="I94" s="77">
        <f t="shared" si="12"/>
        <v>4112135.377925124</v>
      </c>
      <c r="J94" s="77">
        <f t="shared" si="14"/>
        <v>4029100.3329559173</v>
      </c>
      <c r="K94" s="77">
        <f t="shared" si="13"/>
        <v>3986534.8879130781</v>
      </c>
      <c r="L94" s="77">
        <f t="shared" si="15"/>
        <v>3903492.5923980759</v>
      </c>
      <c r="M94" s="77">
        <f t="shared" si="16"/>
        <v>4110894.7319143731</v>
      </c>
      <c r="N94" s="77">
        <f t="shared" si="17"/>
        <v>4028389.0080950609</v>
      </c>
      <c r="O94" s="77">
        <v>125862.49173879152</v>
      </c>
      <c r="P94" s="70">
        <v>98539.366714006959</v>
      </c>
      <c r="Q94" s="70">
        <v>99175.84745850318</v>
      </c>
      <c r="R94" s="70">
        <f t="shared" si="18"/>
        <v>4154962.8246947089</v>
      </c>
      <c r="S94" s="77">
        <f t="shared" si="19"/>
        <v>4002031.9591120826</v>
      </c>
      <c r="T94" s="77">
        <f t="shared" si="20"/>
        <v>4127564.8555535641</v>
      </c>
    </row>
    <row r="95" spans="1:20" x14ac:dyDescent="0.3">
      <c r="A95" s="47">
        <v>2194</v>
      </c>
      <c r="B95" s="48" t="s">
        <v>167</v>
      </c>
      <c r="C95" s="165">
        <v>264</v>
      </c>
      <c r="D95" s="73">
        <v>278</v>
      </c>
      <c r="E95" s="77">
        <v>280</v>
      </c>
      <c r="F95" s="73">
        <v>89.51</v>
      </c>
      <c r="G95" s="78">
        <v>99.19</v>
      </c>
      <c r="H95" s="67">
        <v>99.46</v>
      </c>
      <c r="I95" s="77">
        <f t="shared" si="12"/>
        <v>414445.28159029013</v>
      </c>
      <c r="J95" s="77">
        <f t="shared" si="14"/>
        <v>406076.51951624348</v>
      </c>
      <c r="K95" s="77">
        <f t="shared" si="13"/>
        <v>496865.13142296096</v>
      </c>
      <c r="L95" s="77">
        <f t="shared" si="15"/>
        <v>486515.08502055117</v>
      </c>
      <c r="M95" s="77">
        <f t="shared" si="16"/>
        <v>507067.75123422145</v>
      </c>
      <c r="N95" s="77">
        <f t="shared" si="17"/>
        <v>496890.89325821382</v>
      </c>
      <c r="O95" s="77">
        <v>6177.709828644649</v>
      </c>
      <c r="P95" s="70">
        <v>10218.616025477955</v>
      </c>
      <c r="Q95" s="70">
        <v>10304.534801857846</v>
      </c>
      <c r="R95" s="70">
        <f t="shared" si="18"/>
        <v>412254.22934488812</v>
      </c>
      <c r="S95" s="77">
        <f t="shared" si="19"/>
        <v>496733.70104602911</v>
      </c>
      <c r="T95" s="77">
        <f t="shared" si="20"/>
        <v>507195.42806007166</v>
      </c>
    </row>
    <row r="96" spans="1:20" x14ac:dyDescent="0.3">
      <c r="A96" s="47">
        <v>2196</v>
      </c>
      <c r="B96" s="48" t="s">
        <v>169</v>
      </c>
      <c r="C96" s="165">
        <v>35680</v>
      </c>
      <c r="D96" s="77">
        <v>36633</v>
      </c>
      <c r="E96" s="77">
        <v>37485</v>
      </c>
      <c r="F96" s="73">
        <v>110.28</v>
      </c>
      <c r="G96" s="78">
        <v>107.39</v>
      </c>
      <c r="H96" s="67">
        <v>106.99</v>
      </c>
      <c r="I96" s="77">
        <f t="shared" si="12"/>
        <v>69010205.19659096</v>
      </c>
      <c r="J96" s="77">
        <f t="shared" si="14"/>
        <v>67616704.018931672</v>
      </c>
      <c r="K96" s="77">
        <f t="shared" si="13"/>
        <v>70886276.175069392</v>
      </c>
      <c r="L96" s="77">
        <f t="shared" si="15"/>
        <v>69409665.720226556</v>
      </c>
      <c r="M96" s="77">
        <f t="shared" si="16"/>
        <v>73023090.17767489</v>
      </c>
      <c r="N96" s="77">
        <f t="shared" si="17"/>
        <v>71557515.575664505</v>
      </c>
      <c r="O96" s="77">
        <v>2037062.9895031226</v>
      </c>
      <c r="P96" s="70">
        <v>1877255.8872746644</v>
      </c>
      <c r="Q96" s="70">
        <v>1864782.7351109055</v>
      </c>
      <c r="R96" s="70">
        <f t="shared" si="18"/>
        <v>69653767.008434787</v>
      </c>
      <c r="S96" s="77">
        <f t="shared" si="19"/>
        <v>71286921.607501224</v>
      </c>
      <c r="T96" s="77">
        <f t="shared" si="20"/>
        <v>73422298.310775414</v>
      </c>
    </row>
    <row r="97" spans="1:20" x14ac:dyDescent="0.3">
      <c r="A97" s="47">
        <v>2197</v>
      </c>
      <c r="B97" s="48" t="s">
        <v>171</v>
      </c>
      <c r="C97" s="165">
        <v>3031</v>
      </c>
      <c r="D97" s="77">
        <v>3043</v>
      </c>
      <c r="E97" s="77">
        <v>3146</v>
      </c>
      <c r="F97" s="73">
        <v>101.89</v>
      </c>
      <c r="G97" s="78">
        <v>100.66</v>
      </c>
      <c r="H97" s="67">
        <v>100.41</v>
      </c>
      <c r="I97" s="77">
        <f t="shared" si="12"/>
        <v>5416381.102910554</v>
      </c>
      <c r="J97" s="77">
        <f t="shared" si="14"/>
        <v>5307009.8378338022</v>
      </c>
      <c r="K97" s="77">
        <f t="shared" si="13"/>
        <v>5519309.0466104327</v>
      </c>
      <c r="L97" s="77">
        <f t="shared" si="15"/>
        <v>5404337.998877502</v>
      </c>
      <c r="M97" s="77">
        <f t="shared" si="16"/>
        <v>5751686.2826367049</v>
      </c>
      <c r="N97" s="77">
        <f t="shared" si="17"/>
        <v>5636249.8458322128</v>
      </c>
      <c r="O97" s="77">
        <v>128338.84376762141</v>
      </c>
      <c r="P97" s="70">
        <v>124989.69602898098</v>
      </c>
      <c r="Q97" s="70">
        <v>122892.23666791864</v>
      </c>
      <c r="R97" s="70">
        <f t="shared" si="18"/>
        <v>5435348.6816014238</v>
      </c>
      <c r="S97" s="77">
        <f t="shared" si="19"/>
        <v>5529327.6949064834</v>
      </c>
      <c r="T97" s="77">
        <f t="shared" si="20"/>
        <v>5759142.0825001318</v>
      </c>
    </row>
    <row r="98" spans="1:20" x14ac:dyDescent="0.3">
      <c r="A98" s="47">
        <v>2198</v>
      </c>
      <c r="B98" s="48" t="s">
        <v>173</v>
      </c>
      <c r="C98" s="165">
        <v>2729</v>
      </c>
      <c r="D98" s="77">
        <v>2926</v>
      </c>
      <c r="E98" s="77">
        <v>3102</v>
      </c>
      <c r="F98" s="73">
        <v>103.8</v>
      </c>
      <c r="G98" s="78">
        <v>102.64</v>
      </c>
      <c r="H98" s="67">
        <v>101.96</v>
      </c>
      <c r="I98" s="77">
        <f t="shared" si="12"/>
        <v>4968126.0348910484</v>
      </c>
      <c r="J98" s="77">
        <f t="shared" si="14"/>
        <v>4867806.2421783833</v>
      </c>
      <c r="K98" s="77">
        <f t="shared" si="13"/>
        <v>5411489.2399353264</v>
      </c>
      <c r="L98" s="77">
        <f t="shared" si="15"/>
        <v>5298764.1537956158</v>
      </c>
      <c r="M98" s="77">
        <f t="shared" si="16"/>
        <v>5758788.4503080724</v>
      </c>
      <c r="N98" s="77">
        <f t="shared" si="17"/>
        <v>5643209.4728834424</v>
      </c>
      <c r="O98" s="77">
        <v>114825.84627278871</v>
      </c>
      <c r="P98" s="70">
        <v>117072.30592534986</v>
      </c>
      <c r="Q98" s="70">
        <v>117639.58580568241</v>
      </c>
      <c r="R98" s="70">
        <f t="shared" si="18"/>
        <v>4982632.0884511722</v>
      </c>
      <c r="S98" s="77">
        <f t="shared" si="19"/>
        <v>5415836.4597209655</v>
      </c>
      <c r="T98" s="77">
        <f t="shared" si="20"/>
        <v>5760849.0586891249</v>
      </c>
    </row>
    <row r="99" spans="1:20" x14ac:dyDescent="0.3">
      <c r="A99" s="47">
        <v>2200</v>
      </c>
      <c r="B99" s="48" t="s">
        <v>175</v>
      </c>
      <c r="C99" s="165">
        <v>1776</v>
      </c>
      <c r="D99" s="77">
        <v>1858</v>
      </c>
      <c r="E99" s="77">
        <v>1886</v>
      </c>
      <c r="F99" s="73">
        <v>108.54</v>
      </c>
      <c r="G99" s="78">
        <v>102.42</v>
      </c>
      <c r="H99" s="67">
        <v>102.82</v>
      </c>
      <c r="I99" s="77">
        <f t="shared" si="12"/>
        <v>3380839.0366967088</v>
      </c>
      <c r="J99" s="77">
        <f t="shared" si="14"/>
        <v>3312570.8267168594</v>
      </c>
      <c r="K99" s="77">
        <f t="shared" si="13"/>
        <v>3428911.808697613</v>
      </c>
      <c r="L99" s="77">
        <f t="shared" si="15"/>
        <v>3357485.189912443</v>
      </c>
      <c r="M99" s="77">
        <f t="shared" si="16"/>
        <v>3530846.1355271465</v>
      </c>
      <c r="N99" s="77">
        <f t="shared" si="17"/>
        <v>3459981.996427523</v>
      </c>
      <c r="O99" s="77">
        <v>90892.354000226056</v>
      </c>
      <c r="P99" s="70">
        <v>75437.762831882312</v>
      </c>
      <c r="Q99" s="70">
        <v>79174.258269390237</v>
      </c>
      <c r="R99" s="70">
        <f t="shared" si="18"/>
        <v>3403463.1807170855</v>
      </c>
      <c r="S99" s="77">
        <f t="shared" si="19"/>
        <v>3432922.9527443252</v>
      </c>
      <c r="T99" s="77">
        <f t="shared" si="20"/>
        <v>3539156.2546969131</v>
      </c>
    </row>
    <row r="100" spans="1:20" x14ac:dyDescent="0.3">
      <c r="A100" s="47">
        <v>2206</v>
      </c>
      <c r="B100" s="48" t="s">
        <v>178</v>
      </c>
      <c r="C100" s="165">
        <v>7653</v>
      </c>
      <c r="D100" s="77">
        <v>7729</v>
      </c>
      <c r="E100" s="77">
        <v>7919</v>
      </c>
      <c r="F100" s="73">
        <v>103.67</v>
      </c>
      <c r="G100" s="78">
        <v>100.43</v>
      </c>
      <c r="H100" s="67">
        <v>100.4</v>
      </c>
      <c r="I100" s="77">
        <f t="shared" si="12"/>
        <v>13914785.868977206</v>
      </c>
      <c r="J100" s="77">
        <f t="shared" si="14"/>
        <v>13633809.012872241</v>
      </c>
      <c r="K100" s="77">
        <f t="shared" si="13"/>
        <v>13986614.470561797</v>
      </c>
      <c r="L100" s="77">
        <f t="shared" si="15"/>
        <v>13695263.559363117</v>
      </c>
      <c r="M100" s="77">
        <f t="shared" si="16"/>
        <v>14476499.52641369</v>
      </c>
      <c r="N100" s="77">
        <f t="shared" si="17"/>
        <v>14185955.946563743</v>
      </c>
      <c r="O100" s="77">
        <v>344600.07274487434</v>
      </c>
      <c r="P100" s="70">
        <v>311850.01542459265</v>
      </c>
      <c r="Q100" s="70">
        <v>310168.15624655626</v>
      </c>
      <c r="R100" s="70">
        <f t="shared" si="18"/>
        <v>13978409.085617116</v>
      </c>
      <c r="S100" s="77">
        <f t="shared" si="19"/>
        <v>14007113.57478771</v>
      </c>
      <c r="T100" s="77">
        <f t="shared" si="20"/>
        <v>14496124.102810299</v>
      </c>
    </row>
    <row r="101" spans="1:20" x14ac:dyDescent="0.3">
      <c r="A101" s="47">
        <v>2208</v>
      </c>
      <c r="B101" s="48" t="s">
        <v>180</v>
      </c>
      <c r="C101" s="165">
        <v>1546</v>
      </c>
      <c r="D101" s="77">
        <v>1567</v>
      </c>
      <c r="E101" s="77">
        <v>1568</v>
      </c>
      <c r="F101" s="73">
        <v>114.24</v>
      </c>
      <c r="G101" s="78">
        <v>109.98</v>
      </c>
      <c r="H101" s="67">
        <v>109.07</v>
      </c>
      <c r="I101" s="77">
        <f t="shared" si="12"/>
        <v>3097557.661827201</v>
      </c>
      <c r="J101" s="77">
        <f t="shared" si="14"/>
        <v>3035009.6627692734</v>
      </c>
      <c r="K101" s="77">
        <f t="shared" si="13"/>
        <v>3105335.6268565669</v>
      </c>
      <c r="L101" s="77">
        <f t="shared" si="15"/>
        <v>3040649.3250809205</v>
      </c>
      <c r="M101" s="77">
        <f t="shared" si="16"/>
        <v>3113944.5597411282</v>
      </c>
      <c r="N101" s="77">
        <f t="shared" si="17"/>
        <v>3051447.6420165994</v>
      </c>
      <c r="O101" s="77">
        <v>107529.81086022103</v>
      </c>
      <c r="P101" s="70">
        <v>91838.882450957666</v>
      </c>
      <c r="Q101" s="70">
        <v>87269.278612702532</v>
      </c>
      <c r="R101" s="70">
        <f t="shared" si="18"/>
        <v>3142539.4736294942</v>
      </c>
      <c r="S101" s="77">
        <f t="shared" si="19"/>
        <v>3132488.2075318783</v>
      </c>
      <c r="T101" s="77">
        <f t="shared" si="20"/>
        <v>3138716.920629302</v>
      </c>
    </row>
    <row r="102" spans="1:20" x14ac:dyDescent="0.3">
      <c r="A102" s="47">
        <v>2211</v>
      </c>
      <c r="B102" s="48" t="s">
        <v>182</v>
      </c>
      <c r="C102" s="165">
        <v>2208</v>
      </c>
      <c r="D102" s="77">
        <v>2321</v>
      </c>
      <c r="E102" s="77">
        <v>2387</v>
      </c>
      <c r="F102" s="73">
        <v>95.49</v>
      </c>
      <c r="G102" s="78">
        <v>100.99</v>
      </c>
      <c r="H102" s="67">
        <v>101.15</v>
      </c>
      <c r="I102" s="77">
        <f t="shared" si="12"/>
        <v>3697844.785644291</v>
      </c>
      <c r="J102" s="77">
        <f t="shared" si="14"/>
        <v>3623175.3791569858</v>
      </c>
      <c r="K102" s="77">
        <f t="shared" si="13"/>
        <v>4223566.5992960818</v>
      </c>
      <c r="L102" s="77">
        <f t="shared" si="15"/>
        <v>4135586.7683081622</v>
      </c>
      <c r="M102" s="77">
        <f t="shared" si="16"/>
        <v>4396203.7340974901</v>
      </c>
      <c r="N102" s="77">
        <f t="shared" si="17"/>
        <v>4307971.8539855983</v>
      </c>
      <c r="O102" s="77">
        <v>70984.496873965123</v>
      </c>
      <c r="P102" s="70">
        <v>89445.142648186098</v>
      </c>
      <c r="Q102" s="70">
        <v>92192.005257390367</v>
      </c>
      <c r="R102" s="70">
        <f t="shared" si="18"/>
        <v>3694159.8760309508</v>
      </c>
      <c r="S102" s="77">
        <f t="shared" si="19"/>
        <v>4225031.9109563483</v>
      </c>
      <c r="T102" s="77">
        <f t="shared" si="20"/>
        <v>4400163.8592429888</v>
      </c>
    </row>
    <row r="103" spans="1:20" x14ac:dyDescent="0.3">
      <c r="A103" s="47">
        <v>2213</v>
      </c>
      <c r="B103" s="48" t="s">
        <v>184</v>
      </c>
      <c r="C103" s="165">
        <v>577</v>
      </c>
      <c r="D103" s="73">
        <v>597</v>
      </c>
      <c r="E103" s="77">
        <v>611</v>
      </c>
      <c r="F103" s="73">
        <v>100</v>
      </c>
      <c r="G103" s="78">
        <v>105.19</v>
      </c>
      <c r="H103" s="67">
        <v>102.82</v>
      </c>
      <c r="I103" s="77">
        <f t="shared" si="12"/>
        <v>1011969.7455405244</v>
      </c>
      <c r="J103" s="77">
        <f t="shared" si="14"/>
        <v>991535.36155124218</v>
      </c>
      <c r="K103" s="77">
        <f t="shared" si="13"/>
        <v>1131552.2703359665</v>
      </c>
      <c r="L103" s="77">
        <f t="shared" si="15"/>
        <v>1107981.2492196551</v>
      </c>
      <c r="M103" s="77">
        <f t="shared" si="16"/>
        <v>1143874.3312868963</v>
      </c>
      <c r="N103" s="77">
        <f t="shared" si="17"/>
        <v>1120916.7549401997</v>
      </c>
      <c r="O103" s="77">
        <v>21403.708317939225</v>
      </c>
      <c r="P103" s="70">
        <v>28028.139066881387</v>
      </c>
      <c r="Q103" s="70">
        <v>25722.717917476446</v>
      </c>
      <c r="R103" s="70">
        <f t="shared" si="18"/>
        <v>1012939.0698691814</v>
      </c>
      <c r="S103" s="77">
        <f t="shared" si="19"/>
        <v>1136009.3882865366</v>
      </c>
      <c r="T103" s="77">
        <f t="shared" si="20"/>
        <v>1146639.4728576762</v>
      </c>
    </row>
    <row r="104" spans="1:20" x14ac:dyDescent="0.3">
      <c r="A104" s="47">
        <v>2216</v>
      </c>
      <c r="B104" s="48" t="s">
        <v>186</v>
      </c>
      <c r="C104" s="165">
        <v>148</v>
      </c>
      <c r="D104" s="73">
        <v>149</v>
      </c>
      <c r="E104" s="77">
        <v>148</v>
      </c>
      <c r="F104" s="73">
        <v>84.48</v>
      </c>
      <c r="G104" s="78">
        <v>101.51</v>
      </c>
      <c r="H104" s="67">
        <v>104.11</v>
      </c>
      <c r="I104" s="77">
        <f t="shared" si="12"/>
        <v>219284.19769987866</v>
      </c>
      <c r="J104" s="77">
        <f t="shared" si="14"/>
        <v>214856.26147122434</v>
      </c>
      <c r="K104" s="77">
        <f t="shared" si="13"/>
        <v>272534.15050836129</v>
      </c>
      <c r="L104" s="77">
        <f t="shared" si="15"/>
        <v>266857.07452614332</v>
      </c>
      <c r="M104" s="77">
        <f t="shared" si="16"/>
        <v>280552.19219453732</v>
      </c>
      <c r="N104" s="77">
        <f t="shared" si="17"/>
        <v>274921.50515543477</v>
      </c>
      <c r="O104" s="77">
        <v>3071.2615469108418</v>
      </c>
      <c r="P104" s="70">
        <v>6270.0092122014667</v>
      </c>
      <c r="Q104" s="70">
        <v>6935.2503859028984</v>
      </c>
      <c r="R104" s="70">
        <f t="shared" si="18"/>
        <v>217927.52301813517</v>
      </c>
      <c r="S104" s="77">
        <f t="shared" si="19"/>
        <v>273127.08373834478</v>
      </c>
      <c r="T104" s="77">
        <f t="shared" si="20"/>
        <v>281856.75554133765</v>
      </c>
    </row>
    <row r="105" spans="1:20" x14ac:dyDescent="0.3">
      <c r="A105" s="47">
        <v>2217</v>
      </c>
      <c r="B105" s="48" t="s">
        <v>188</v>
      </c>
      <c r="C105" s="165">
        <v>659</v>
      </c>
      <c r="D105" s="73">
        <v>681</v>
      </c>
      <c r="E105" s="77">
        <v>694</v>
      </c>
      <c r="F105" s="73">
        <v>87.32</v>
      </c>
      <c r="G105" s="78">
        <v>101.77</v>
      </c>
      <c r="H105" s="67">
        <v>102.11</v>
      </c>
      <c r="I105" s="77">
        <f t="shared" si="12"/>
        <v>1009231.6395323131</v>
      </c>
      <c r="J105" s="77">
        <f t="shared" si="14"/>
        <v>988852.54524889588</v>
      </c>
      <c r="K105" s="77">
        <f t="shared" si="13"/>
        <v>1248799.512503325</v>
      </c>
      <c r="L105" s="77">
        <f t="shared" si="15"/>
        <v>1222786.1497529543</v>
      </c>
      <c r="M105" s="77">
        <f t="shared" si="16"/>
        <v>1290289.7620901903</v>
      </c>
      <c r="N105" s="77">
        <f t="shared" si="17"/>
        <v>1264393.6256770049</v>
      </c>
      <c r="O105" s="77">
        <v>14463.293157860046</v>
      </c>
      <c r="P105" s="70">
        <v>27897.808128918139</v>
      </c>
      <c r="Q105" s="70">
        <v>28575.192400925251</v>
      </c>
      <c r="R105" s="70">
        <f t="shared" si="18"/>
        <v>1003315.8384067559</v>
      </c>
      <c r="S105" s="77">
        <f t="shared" si="19"/>
        <v>1250683.9578818723</v>
      </c>
      <c r="T105" s="77">
        <f t="shared" si="20"/>
        <v>1292968.8180779302</v>
      </c>
    </row>
    <row r="106" spans="1:20" x14ac:dyDescent="0.3">
      <c r="A106" s="47">
        <v>2220</v>
      </c>
      <c r="B106" s="48" t="s">
        <v>189</v>
      </c>
      <c r="C106" s="165">
        <v>2990</v>
      </c>
      <c r="D106" s="77">
        <v>3022</v>
      </c>
      <c r="E106" s="77">
        <v>3051</v>
      </c>
      <c r="F106" s="73">
        <v>101.49</v>
      </c>
      <c r="G106" s="78">
        <v>101.36</v>
      </c>
      <c r="H106" s="67">
        <v>101.45</v>
      </c>
      <c r="I106" s="77">
        <f t="shared" si="12"/>
        <v>5322138.3072785847</v>
      </c>
      <c r="J106" s="77">
        <f t="shared" si="14"/>
        <v>5214670.0570722409</v>
      </c>
      <c r="K106" s="77">
        <f t="shared" si="13"/>
        <v>5519336.7955604661</v>
      </c>
      <c r="L106" s="77">
        <f t="shared" si="15"/>
        <v>5404365.1697975984</v>
      </c>
      <c r="M106" s="77">
        <f t="shared" si="16"/>
        <v>5635776.5246485891</v>
      </c>
      <c r="N106" s="77">
        <f t="shared" si="17"/>
        <v>5522666.3985633403</v>
      </c>
      <c r="O106" s="77">
        <v>122522.41060892557</v>
      </c>
      <c r="P106" s="70">
        <v>124617.92469428253</v>
      </c>
      <c r="Q106" s="70">
        <v>126331.03018830152</v>
      </c>
      <c r="R106" s="70">
        <f t="shared" si="18"/>
        <v>5337192.4676811667</v>
      </c>
      <c r="S106" s="77">
        <f t="shared" si="19"/>
        <v>5528983.0944918813</v>
      </c>
      <c r="T106" s="77">
        <f t="shared" si="20"/>
        <v>5648997.4287516419</v>
      </c>
    </row>
    <row r="107" spans="1:20" x14ac:dyDescent="0.3">
      <c r="A107" s="47">
        <v>2221</v>
      </c>
      <c r="B107" s="48" t="s">
        <v>191</v>
      </c>
      <c r="C107" s="165">
        <v>916</v>
      </c>
      <c r="D107" s="73">
        <v>937</v>
      </c>
      <c r="E107" s="77">
        <v>968</v>
      </c>
      <c r="F107" s="73">
        <v>102.65</v>
      </c>
      <c r="G107" s="78">
        <v>97.69</v>
      </c>
      <c r="H107" s="67">
        <v>97.41</v>
      </c>
      <c r="I107" s="77">
        <f t="shared" si="12"/>
        <v>1649096.7773281995</v>
      </c>
      <c r="J107" s="77">
        <f t="shared" si="14"/>
        <v>1615797.0893366253</v>
      </c>
      <c r="K107" s="77">
        <f t="shared" si="13"/>
        <v>1649360.2911395391</v>
      </c>
      <c r="L107" s="77">
        <f t="shared" si="15"/>
        <v>1615002.9686631213</v>
      </c>
      <c r="M107" s="77">
        <f t="shared" si="16"/>
        <v>1716873.9270273151</v>
      </c>
      <c r="N107" s="77">
        <f t="shared" si="17"/>
        <v>1682416.2395180247</v>
      </c>
      <c r="O107" s="77">
        <v>37774.579959734976</v>
      </c>
      <c r="P107" s="70">
        <v>32453.112767764949</v>
      </c>
      <c r="Q107" s="70">
        <v>32895.787757322199</v>
      </c>
      <c r="R107" s="70">
        <f t="shared" si="18"/>
        <v>1653571.6692963603</v>
      </c>
      <c r="S107" s="77">
        <f t="shared" si="19"/>
        <v>1647456.0814308864</v>
      </c>
      <c r="T107" s="77">
        <f t="shared" si="20"/>
        <v>1715312.0272753469</v>
      </c>
    </row>
    <row r="108" spans="1:20" x14ac:dyDescent="0.3">
      <c r="A108" s="47">
        <v>2222</v>
      </c>
      <c r="B108" s="48" t="s">
        <v>193</v>
      </c>
      <c r="C108" s="165">
        <v>1248</v>
      </c>
      <c r="D108" s="77">
        <v>1242</v>
      </c>
      <c r="E108" s="77">
        <v>1254</v>
      </c>
      <c r="F108" s="73">
        <v>104.02</v>
      </c>
      <c r="G108" s="78">
        <v>108.98</v>
      </c>
      <c r="H108" s="67">
        <v>108.68</v>
      </c>
      <c r="I108" s="77">
        <f t="shared" si="12"/>
        <v>2276790.9181636814</v>
      </c>
      <c r="J108" s="77">
        <f t="shared" si="14"/>
        <v>2230816.4015439018</v>
      </c>
      <c r="K108" s="77">
        <f t="shared" si="13"/>
        <v>2438901.3466602163</v>
      </c>
      <c r="L108" s="77">
        <f t="shared" si="15"/>
        <v>2388097.3346408159</v>
      </c>
      <c r="M108" s="77">
        <f t="shared" si="16"/>
        <v>2481456.5258821039</v>
      </c>
      <c r="N108" s="77">
        <f t="shared" si="17"/>
        <v>2431653.6532362462</v>
      </c>
      <c r="O108" s="77">
        <v>56475.302559850243</v>
      </c>
      <c r="P108" s="70">
        <v>69716.958510442535</v>
      </c>
      <c r="Q108" s="70">
        <v>69445.442287615209</v>
      </c>
      <c r="R108" s="70">
        <f t="shared" si="18"/>
        <v>2287291.704103752</v>
      </c>
      <c r="S108" s="77">
        <f t="shared" si="19"/>
        <v>2457814.2931512585</v>
      </c>
      <c r="T108" s="77">
        <f t="shared" si="20"/>
        <v>2501099.0955238612</v>
      </c>
    </row>
    <row r="109" spans="1:20" x14ac:dyDescent="0.3">
      <c r="A109" s="47">
        <v>2223</v>
      </c>
      <c r="B109" s="48" t="s">
        <v>194</v>
      </c>
      <c r="C109" s="165">
        <v>1164</v>
      </c>
      <c r="D109" s="77">
        <v>1189</v>
      </c>
      <c r="E109" s="77">
        <v>1238</v>
      </c>
      <c r="F109" s="73">
        <v>97.53</v>
      </c>
      <c r="G109" s="78">
        <v>99.15</v>
      </c>
      <c r="H109" s="67">
        <v>99.57</v>
      </c>
      <c r="I109" s="77">
        <f t="shared" si="12"/>
        <v>1991053.4558909598</v>
      </c>
      <c r="J109" s="77">
        <f t="shared" si="14"/>
        <v>1950848.7451867564</v>
      </c>
      <c r="K109" s="77">
        <f t="shared" si="13"/>
        <v>2124224.4693208318</v>
      </c>
      <c r="L109" s="77">
        <f t="shared" si="15"/>
        <v>2079975.3956061192</v>
      </c>
      <c r="M109" s="77">
        <f t="shared" si="16"/>
        <v>2244443.3927531741</v>
      </c>
      <c r="N109" s="77">
        <f t="shared" si="17"/>
        <v>2199397.3775261338</v>
      </c>
      <c r="O109" s="77">
        <v>39852.231416611925</v>
      </c>
      <c r="P109" s="70">
        <v>43896.575649144288</v>
      </c>
      <c r="Q109" s="70">
        <v>45634.95774197131</v>
      </c>
      <c r="R109" s="70">
        <f t="shared" si="18"/>
        <v>1990700.9766033683</v>
      </c>
      <c r="S109" s="77">
        <f t="shared" si="19"/>
        <v>2123871.9712552633</v>
      </c>
      <c r="T109" s="77">
        <f t="shared" si="20"/>
        <v>2245032.3352681049</v>
      </c>
    </row>
    <row r="110" spans="1:20" x14ac:dyDescent="0.3">
      <c r="A110" s="47">
        <v>2225</v>
      </c>
      <c r="B110" s="48" t="s">
        <v>196</v>
      </c>
      <c r="C110" s="165">
        <v>128</v>
      </c>
      <c r="D110" s="73">
        <v>139</v>
      </c>
      <c r="E110" s="77">
        <v>153</v>
      </c>
      <c r="F110" s="73">
        <v>97.75</v>
      </c>
      <c r="G110" s="78">
        <v>96.05</v>
      </c>
      <c r="H110" s="67">
        <v>95.9</v>
      </c>
      <c r="I110" s="77">
        <f t="shared" si="12"/>
        <v>219441.34239520002</v>
      </c>
      <c r="J110" s="77">
        <f t="shared" si="14"/>
        <v>215010.23299357266</v>
      </c>
      <c r="K110" s="77">
        <f t="shared" si="13"/>
        <v>240568.08082052323</v>
      </c>
      <c r="L110" s="77">
        <f t="shared" si="15"/>
        <v>235556.880311644</v>
      </c>
      <c r="M110" s="77">
        <f t="shared" si="16"/>
        <v>267158.83605521108</v>
      </c>
      <c r="N110" s="77">
        <f t="shared" si="17"/>
        <v>261796.95389064503</v>
      </c>
      <c r="O110" s="77">
        <v>4265.5708538297295</v>
      </c>
      <c r="P110" s="70">
        <v>4199.806868712687</v>
      </c>
      <c r="Q110" s="70">
        <v>4318.322192945363</v>
      </c>
      <c r="R110" s="70">
        <f t="shared" si="18"/>
        <v>219275.80384740239</v>
      </c>
      <c r="S110" s="77">
        <f t="shared" si="19"/>
        <v>239756.68718035668</v>
      </c>
      <c r="T110" s="77">
        <f t="shared" si="20"/>
        <v>266115.2760835904</v>
      </c>
    </row>
    <row r="111" spans="1:20" x14ac:dyDescent="0.3">
      <c r="A111" s="47">
        <v>2226</v>
      </c>
      <c r="B111" s="48" t="s">
        <v>198</v>
      </c>
      <c r="C111" s="165">
        <v>1451</v>
      </c>
      <c r="D111" s="77">
        <v>1439</v>
      </c>
      <c r="E111" s="77">
        <v>1447</v>
      </c>
      <c r="F111" s="73">
        <v>101.18</v>
      </c>
      <c r="G111" s="78">
        <v>107.13</v>
      </c>
      <c r="H111" s="67">
        <v>107.12</v>
      </c>
      <c r="I111" s="77">
        <f t="shared" si="12"/>
        <v>2574861.0820944486</v>
      </c>
      <c r="J111" s="77">
        <f t="shared" si="14"/>
        <v>2522867.7292274884</v>
      </c>
      <c r="K111" s="77">
        <f t="shared" si="13"/>
        <v>2777779.2725654375</v>
      </c>
      <c r="L111" s="77">
        <f t="shared" si="15"/>
        <v>2719916.1975608231</v>
      </c>
      <c r="M111" s="77">
        <f t="shared" si="16"/>
        <v>2822270.2629976012</v>
      </c>
      <c r="N111" s="77">
        <f t="shared" si="17"/>
        <v>2765627.2531305249</v>
      </c>
      <c r="O111" s="77">
        <v>59637.276073122106</v>
      </c>
      <c r="P111" s="70">
        <v>76662.896808719641</v>
      </c>
      <c r="Q111" s="70">
        <v>76204.446384474184</v>
      </c>
      <c r="R111" s="70">
        <f t="shared" si="18"/>
        <v>2582505.0053006103</v>
      </c>
      <c r="S111" s="77">
        <f t="shared" si="19"/>
        <v>2796579.0943695428</v>
      </c>
      <c r="T111" s="77">
        <f t="shared" si="20"/>
        <v>2841831.6995149991</v>
      </c>
    </row>
    <row r="112" spans="1:20" x14ac:dyDescent="0.3">
      <c r="A112" s="47">
        <v>2228</v>
      </c>
      <c r="B112" s="48" t="s">
        <v>200</v>
      </c>
      <c r="C112" s="165">
        <v>11762</v>
      </c>
      <c r="D112" s="77">
        <v>11975</v>
      </c>
      <c r="E112" s="77">
        <v>12057</v>
      </c>
      <c r="F112" s="73">
        <v>111.46</v>
      </c>
      <c r="G112" s="78">
        <v>111.61</v>
      </c>
      <c r="H112" s="67">
        <v>110.95</v>
      </c>
      <c r="I112" s="77">
        <f t="shared" si="12"/>
        <v>22992803.585267436</v>
      </c>
      <c r="J112" s="77">
        <f t="shared" si="14"/>
        <v>22528517.197732657</v>
      </c>
      <c r="K112" s="77">
        <f t="shared" si="13"/>
        <v>24082660.55352119</v>
      </c>
      <c r="L112" s="77">
        <f t="shared" si="15"/>
        <v>23581001.977664623</v>
      </c>
      <c r="M112" s="77">
        <f t="shared" si="16"/>
        <v>24357127.650462877</v>
      </c>
      <c r="N112" s="77">
        <f t="shared" si="17"/>
        <v>23868279.704209339</v>
      </c>
      <c r="O112" s="77">
        <v>671286.66763904074</v>
      </c>
      <c r="P112" s="70">
        <v>715291.38241262804</v>
      </c>
      <c r="Q112" s="70">
        <v>710920.51237385685</v>
      </c>
      <c r="R112" s="70">
        <f t="shared" si="18"/>
        <v>23199803.865371697</v>
      </c>
      <c r="S112" s="77">
        <f t="shared" si="19"/>
        <v>24296293.360077251</v>
      </c>
      <c r="T112" s="77">
        <f t="shared" si="20"/>
        <v>24579200.216583196</v>
      </c>
    </row>
    <row r="113" spans="1:20" x14ac:dyDescent="0.3">
      <c r="A113" s="47">
        <v>2230</v>
      </c>
      <c r="B113" s="48" t="s">
        <v>202</v>
      </c>
      <c r="C113" s="165">
        <v>82</v>
      </c>
      <c r="D113" s="73">
        <v>84</v>
      </c>
      <c r="E113" s="77">
        <v>87</v>
      </c>
      <c r="F113" s="73">
        <v>111.35</v>
      </c>
      <c r="G113" s="78">
        <v>92.82</v>
      </c>
      <c r="H113" s="67">
        <v>89.94</v>
      </c>
      <c r="I113" s="77">
        <f t="shared" si="12"/>
        <v>160138.51222888849</v>
      </c>
      <c r="J113" s="77">
        <f t="shared" si="14"/>
        <v>156904.8860609346</v>
      </c>
      <c r="K113" s="77">
        <f t="shared" si="13"/>
        <v>140490.41139304102</v>
      </c>
      <c r="L113" s="77">
        <f t="shared" si="15"/>
        <v>137563.89837159534</v>
      </c>
      <c r="M113" s="77">
        <f t="shared" si="16"/>
        <v>142472.69535859756</v>
      </c>
      <c r="N113" s="77">
        <f t="shared" si="17"/>
        <v>139613.26605631146</v>
      </c>
      <c r="O113" s="77">
        <v>5279.3878787594613</v>
      </c>
      <c r="P113" s="70">
        <v>2611.9539808656468</v>
      </c>
      <c r="Q113" s="70">
        <v>2140.2082271594513</v>
      </c>
      <c r="R113" s="70">
        <f t="shared" si="18"/>
        <v>162184.27393969407</v>
      </c>
      <c r="S113" s="77">
        <f t="shared" si="19"/>
        <v>140175.85235246099</v>
      </c>
      <c r="T113" s="77">
        <f t="shared" si="20"/>
        <v>141753.47428347092</v>
      </c>
    </row>
    <row r="114" spans="1:20" x14ac:dyDescent="0.3">
      <c r="A114" s="47">
        <v>2231</v>
      </c>
      <c r="B114" s="48" t="s">
        <v>204</v>
      </c>
      <c r="C114" s="165">
        <v>859</v>
      </c>
      <c r="D114" s="73">
        <v>938</v>
      </c>
      <c r="E114" s="77">
        <v>975</v>
      </c>
      <c r="F114" s="73">
        <v>106.83</v>
      </c>
      <c r="G114" s="78">
        <v>103.84</v>
      </c>
      <c r="H114" s="67">
        <v>102.31</v>
      </c>
      <c r="I114" s="77">
        <f t="shared" si="12"/>
        <v>1609452.2925463594</v>
      </c>
      <c r="J114" s="77">
        <f t="shared" si="14"/>
        <v>1576953.1330574004</v>
      </c>
      <c r="K114" s="77">
        <f t="shared" si="13"/>
        <v>1755065.5917844153</v>
      </c>
      <c r="L114" s="77">
        <f t="shared" si="15"/>
        <v>1718506.3543466439</v>
      </c>
      <c r="M114" s="77">
        <f t="shared" si="16"/>
        <v>1816277.508835349</v>
      </c>
      <c r="N114" s="77">
        <f t="shared" si="17"/>
        <v>1779824.7898299627</v>
      </c>
      <c r="O114" s="77">
        <v>41713.008707795212</v>
      </c>
      <c r="P114" s="70">
        <v>39737.03316436927</v>
      </c>
      <c r="Q114" s="70">
        <v>37540.162340802206</v>
      </c>
      <c r="R114" s="70">
        <f t="shared" si="18"/>
        <v>1618666.1417651956</v>
      </c>
      <c r="S114" s="77">
        <f t="shared" si="19"/>
        <v>1758243.3875110131</v>
      </c>
      <c r="T114" s="77">
        <f t="shared" si="20"/>
        <v>1817364.9521707648</v>
      </c>
    </row>
    <row r="115" spans="1:20" x14ac:dyDescent="0.3">
      <c r="A115" s="47">
        <v>2233</v>
      </c>
      <c r="B115" s="48" t="s">
        <v>205</v>
      </c>
      <c r="C115" s="165">
        <v>2226</v>
      </c>
      <c r="D115" s="77">
        <v>2268</v>
      </c>
      <c r="E115" s="77">
        <v>2367</v>
      </c>
      <c r="F115" s="73">
        <v>93.6</v>
      </c>
      <c r="G115" s="78">
        <v>104.97</v>
      </c>
      <c r="H115" s="67">
        <v>105.68</v>
      </c>
      <c r="I115" s="77">
        <f t="shared" si="12"/>
        <v>3654203.458829327</v>
      </c>
      <c r="J115" s="77">
        <f t="shared" si="14"/>
        <v>3580415.2878076755</v>
      </c>
      <c r="K115" s="77">
        <f t="shared" si="13"/>
        <v>4289770.7290028334</v>
      </c>
      <c r="L115" s="77">
        <f t="shared" si="15"/>
        <v>4200411.8199288063</v>
      </c>
      <c r="M115" s="77">
        <f t="shared" si="16"/>
        <v>4554603.4128103834</v>
      </c>
      <c r="N115" s="77">
        <f t="shared" si="17"/>
        <v>4463192.4485824481</v>
      </c>
      <c r="O115" s="77">
        <v>66050.316603579355</v>
      </c>
      <c r="P115" s="70">
        <v>106954.40505704985</v>
      </c>
      <c r="Q115" s="70">
        <v>110745.73818313384</v>
      </c>
      <c r="R115" s="70">
        <f t="shared" si="18"/>
        <v>3646465.6044112551</v>
      </c>
      <c r="S115" s="77">
        <f t="shared" si="19"/>
        <v>4307366.2249858566</v>
      </c>
      <c r="T115" s="77">
        <f t="shared" si="20"/>
        <v>4573938.1867655823</v>
      </c>
    </row>
    <row r="116" spans="1:20" x14ac:dyDescent="0.3">
      <c r="A116" s="47">
        <v>2234</v>
      </c>
      <c r="B116" s="48" t="s">
        <v>206</v>
      </c>
      <c r="C116" s="165">
        <v>1752</v>
      </c>
      <c r="D116" s="77">
        <v>1777</v>
      </c>
      <c r="E116" s="77">
        <v>1805</v>
      </c>
      <c r="F116" s="73">
        <v>89.26</v>
      </c>
      <c r="G116" s="78">
        <v>102.72</v>
      </c>
      <c r="H116" s="67">
        <v>103.68</v>
      </c>
      <c r="I116" s="77">
        <f t="shared" si="12"/>
        <v>2742727.7459468204</v>
      </c>
      <c r="J116" s="77">
        <f t="shared" si="14"/>
        <v>2687344.7147981967</v>
      </c>
      <c r="K116" s="77">
        <f t="shared" si="13"/>
        <v>3289033.3157092291</v>
      </c>
      <c r="L116" s="77">
        <f t="shared" si="15"/>
        <v>3220520.4632593677</v>
      </c>
      <c r="M116" s="77">
        <f t="shared" si="16"/>
        <v>3407467.3209824185</v>
      </c>
      <c r="N116" s="77">
        <f t="shared" si="17"/>
        <v>3339079.3966880431</v>
      </c>
      <c r="O116" s="77">
        <v>43143.09725490876</v>
      </c>
      <c r="P116" s="70">
        <v>78622.037477311722</v>
      </c>
      <c r="Q116" s="70">
        <v>80750.40325730764</v>
      </c>
      <c r="R116" s="70">
        <f t="shared" si="18"/>
        <v>2730487.8120531053</v>
      </c>
      <c r="S116" s="77">
        <f t="shared" si="19"/>
        <v>3299142.5007366794</v>
      </c>
      <c r="T116" s="77">
        <f t="shared" si="20"/>
        <v>3419829.7999453507</v>
      </c>
    </row>
    <row r="117" spans="1:20" x14ac:dyDescent="0.3">
      <c r="A117" s="47">
        <v>2235</v>
      </c>
      <c r="B117" s="48" t="s">
        <v>176</v>
      </c>
      <c r="C117" s="165">
        <v>1015</v>
      </c>
      <c r="D117" s="77">
        <v>1002</v>
      </c>
      <c r="E117" s="77">
        <v>1030</v>
      </c>
      <c r="F117" s="73">
        <v>95.36</v>
      </c>
      <c r="G117" s="78">
        <v>106.75</v>
      </c>
      <c r="H117" s="67">
        <v>107.22</v>
      </c>
      <c r="I117" s="77">
        <f t="shared" si="12"/>
        <v>1697555.5712091085</v>
      </c>
      <c r="J117" s="77">
        <f t="shared" si="14"/>
        <v>1663277.3701679262</v>
      </c>
      <c r="K117" s="77">
        <f t="shared" si="13"/>
        <v>1927353.777285215</v>
      </c>
      <c r="L117" s="77">
        <f t="shared" si="15"/>
        <v>1887205.657066691</v>
      </c>
      <c r="M117" s="77">
        <f t="shared" si="16"/>
        <v>2010816.9262572615</v>
      </c>
      <c r="N117" s="77">
        <f t="shared" si="17"/>
        <v>1970459.7979948889</v>
      </c>
      <c r="O117" s="77">
        <v>32558.629728660984</v>
      </c>
      <c r="P117" s="70">
        <v>53153.523562904928</v>
      </c>
      <c r="Q117" s="70">
        <v>53505.68121240069</v>
      </c>
      <c r="R117" s="70">
        <f t="shared" si="18"/>
        <v>1695835.9998965871</v>
      </c>
      <c r="S117" s="77">
        <f t="shared" si="19"/>
        <v>1940359.1806295959</v>
      </c>
      <c r="T117" s="77">
        <f t="shared" si="20"/>
        <v>2023965.4792072896</v>
      </c>
    </row>
    <row r="118" spans="1:20" x14ac:dyDescent="0.3">
      <c r="A118" s="47">
        <v>2243</v>
      </c>
      <c r="B118" s="48" t="s">
        <v>382</v>
      </c>
      <c r="C118" s="165">
        <v>523</v>
      </c>
      <c r="D118" s="73">
        <v>514</v>
      </c>
      <c r="E118" s="77">
        <v>531</v>
      </c>
      <c r="F118" s="73">
        <v>94.09</v>
      </c>
      <c r="G118" s="78">
        <v>95.02</v>
      </c>
      <c r="H118" s="67">
        <v>96.64</v>
      </c>
      <c r="I118" s="77">
        <f t="shared" si="12"/>
        <v>863051.82055781363</v>
      </c>
      <c r="J118" s="77">
        <f t="shared" si="14"/>
        <v>845624.48897834285</v>
      </c>
      <c r="K118" s="77">
        <f t="shared" si="13"/>
        <v>880043.17493039707</v>
      </c>
      <c r="L118" s="77">
        <f t="shared" si="15"/>
        <v>861711.26326944376</v>
      </c>
      <c r="M118" s="77">
        <f t="shared" si="16"/>
        <v>934352.91974861082</v>
      </c>
      <c r="N118" s="77">
        <f t="shared" si="17"/>
        <v>915600.44152335403</v>
      </c>
      <c r="O118" s="77">
        <v>16555.937582737661</v>
      </c>
      <c r="P118" s="70">
        <v>16815.519634607776</v>
      </c>
      <c r="Q118" s="70">
        <v>18195.333405022597</v>
      </c>
      <c r="R118" s="70">
        <f t="shared" si="18"/>
        <v>862180.4265610805</v>
      </c>
      <c r="S118" s="77">
        <f t="shared" si="19"/>
        <v>878526.78290405159</v>
      </c>
      <c r="T118" s="77">
        <f t="shared" si="20"/>
        <v>933795.77492837666</v>
      </c>
    </row>
    <row r="119" spans="1:20" x14ac:dyDescent="0.3">
      <c r="A119" s="47">
        <v>2250</v>
      </c>
      <c r="B119" s="48" t="s">
        <v>211</v>
      </c>
      <c r="C119" s="165">
        <v>1343</v>
      </c>
      <c r="D119" s="77">
        <v>1367</v>
      </c>
      <c r="E119" s="77">
        <v>1357</v>
      </c>
      <c r="F119" s="73">
        <v>98.43</v>
      </c>
      <c r="G119" s="78">
        <v>104.06</v>
      </c>
      <c r="H119" s="67">
        <v>103.05</v>
      </c>
      <c r="I119" s="77">
        <f t="shared" si="12"/>
        <v>2318436.5424250052</v>
      </c>
      <c r="J119" s="77">
        <f t="shared" si="14"/>
        <v>2271621.0889280322</v>
      </c>
      <c r="K119" s="77">
        <f t="shared" si="13"/>
        <v>2563174.4788259296</v>
      </c>
      <c r="L119" s="77">
        <f t="shared" si="15"/>
        <v>2509781.7709952448</v>
      </c>
      <c r="M119" s="77">
        <f t="shared" si="16"/>
        <v>2546169.7166369688</v>
      </c>
      <c r="N119" s="77">
        <f t="shared" si="17"/>
        <v>2495068.0492050424</v>
      </c>
      <c r="O119" s="77">
        <v>46291.487065174151</v>
      </c>
      <c r="P119" s="70">
        <v>61037.093531745624</v>
      </c>
      <c r="Q119" s="70">
        <v>60408.581939926429</v>
      </c>
      <c r="R119" s="70">
        <f t="shared" si="18"/>
        <v>2317912.5759932064</v>
      </c>
      <c r="S119" s="77">
        <f t="shared" si="19"/>
        <v>2570818.8645269903</v>
      </c>
      <c r="T119" s="77">
        <f t="shared" si="20"/>
        <v>2555476.6311449688</v>
      </c>
    </row>
    <row r="120" spans="1:20" x14ac:dyDescent="0.3">
      <c r="A120" s="47">
        <v>2251</v>
      </c>
      <c r="B120" s="48" t="s">
        <v>213</v>
      </c>
      <c r="C120" s="165">
        <v>305</v>
      </c>
      <c r="D120" s="73">
        <v>305</v>
      </c>
      <c r="E120" s="77">
        <v>312</v>
      </c>
      <c r="F120" s="73">
        <v>94.83</v>
      </c>
      <c r="G120" s="78">
        <v>84.39</v>
      </c>
      <c r="H120" s="67">
        <v>82.66</v>
      </c>
      <c r="I120" s="77">
        <f t="shared" si="12"/>
        <v>507267.81188440928</v>
      </c>
      <c r="J120" s="77">
        <f t="shared" si="14"/>
        <v>497024.71390729304</v>
      </c>
      <c r="K120" s="77">
        <f t="shared" si="13"/>
        <v>463784.95941003499</v>
      </c>
      <c r="L120" s="77">
        <f t="shared" si="15"/>
        <v>454123.9960075792</v>
      </c>
      <c r="M120" s="77">
        <f t="shared" si="16"/>
        <v>469579.90071064001</v>
      </c>
      <c r="N120" s="77">
        <f t="shared" si="17"/>
        <v>460155.42450151796</v>
      </c>
      <c r="O120" s="77">
        <v>9494.1167263096304</v>
      </c>
      <c r="P120" s="70">
        <v>6338.73271077135</v>
      </c>
      <c r="Q120" s="70">
        <v>5679.5259345251379</v>
      </c>
      <c r="R120" s="70">
        <f t="shared" si="18"/>
        <v>506518.83063360269</v>
      </c>
      <c r="S120" s="77">
        <f t="shared" si="19"/>
        <v>460462.72871835053</v>
      </c>
      <c r="T120" s="77">
        <f t="shared" si="20"/>
        <v>465834.95043604309</v>
      </c>
    </row>
    <row r="121" spans="1:20" x14ac:dyDescent="0.3">
      <c r="A121" s="47">
        <v>2254</v>
      </c>
      <c r="B121" s="48" t="s">
        <v>215</v>
      </c>
      <c r="C121" s="165">
        <v>3379</v>
      </c>
      <c r="D121" s="77">
        <v>3503</v>
      </c>
      <c r="E121" s="77">
        <v>3606</v>
      </c>
      <c r="F121" s="73">
        <v>106.65</v>
      </c>
      <c r="G121" s="78">
        <v>113.04</v>
      </c>
      <c r="H121" s="67">
        <v>112.5</v>
      </c>
      <c r="I121" s="77">
        <f t="shared" si="12"/>
        <v>6320344.7381256446</v>
      </c>
      <c r="J121" s="77">
        <f t="shared" si="14"/>
        <v>6192720.022176736</v>
      </c>
      <c r="K121" s="77">
        <f t="shared" si="13"/>
        <v>7135068.0620779553</v>
      </c>
      <c r="L121" s="77">
        <f t="shared" si="15"/>
        <v>6986439.6298203589</v>
      </c>
      <c r="M121" s="77">
        <f t="shared" si="16"/>
        <v>7386483.7975762971</v>
      </c>
      <c r="N121" s="77">
        <f t="shared" si="17"/>
        <v>7238236.948181821</v>
      </c>
      <c r="O121" s="77">
        <v>161649.07973632461</v>
      </c>
      <c r="P121" s="70">
        <v>214366.60152227661</v>
      </c>
      <c r="Q121" s="70">
        <v>215888.20999012949</v>
      </c>
      <c r="R121" s="70">
        <f t="shared" si="18"/>
        <v>6354369.101913061</v>
      </c>
      <c r="S121" s="77">
        <f t="shared" si="19"/>
        <v>7200806.2313426351</v>
      </c>
      <c r="T121" s="77">
        <f t="shared" si="20"/>
        <v>7454125.1581719508</v>
      </c>
    </row>
    <row r="122" spans="1:20" x14ac:dyDescent="0.3">
      <c r="A122" s="47">
        <v>2257</v>
      </c>
      <c r="B122" s="48" t="s">
        <v>217</v>
      </c>
      <c r="C122" s="165">
        <v>826</v>
      </c>
      <c r="D122" s="73">
        <v>836</v>
      </c>
      <c r="E122" s="77">
        <v>848</v>
      </c>
      <c r="F122" s="73">
        <v>104.58</v>
      </c>
      <c r="G122" s="78">
        <v>103.34</v>
      </c>
      <c r="H122" s="67">
        <v>103.4</v>
      </c>
      <c r="I122" s="77">
        <f t="shared" si="12"/>
        <v>1515027.0968216076</v>
      </c>
      <c r="J122" s="77">
        <f t="shared" si="14"/>
        <v>1484434.6353502579</v>
      </c>
      <c r="K122" s="77">
        <f t="shared" si="13"/>
        <v>1556684.3838517889</v>
      </c>
      <c r="L122" s="77">
        <f t="shared" si="15"/>
        <v>1524257.565007346</v>
      </c>
      <c r="M122" s="77">
        <f t="shared" si="16"/>
        <v>1596525.6328825837</v>
      </c>
      <c r="N122" s="77">
        <f t="shared" si="17"/>
        <v>1564483.3375850529</v>
      </c>
      <c r="O122" s="77">
        <v>39789.06974635199</v>
      </c>
      <c r="P122" s="70">
        <v>37962.401325798091</v>
      </c>
      <c r="Q122" s="70">
        <v>37661.086607074787</v>
      </c>
      <c r="R122" s="70">
        <f t="shared" si="18"/>
        <v>1524223.7050966099</v>
      </c>
      <c r="S122" s="77">
        <f t="shared" si="19"/>
        <v>1562219.9663331441</v>
      </c>
      <c r="T122" s="77">
        <f t="shared" si="20"/>
        <v>1602144.4241921278</v>
      </c>
    </row>
    <row r="123" spans="1:20" x14ac:dyDescent="0.3">
      <c r="A123" s="47">
        <v>2258</v>
      </c>
      <c r="B123" s="48" t="s">
        <v>219</v>
      </c>
      <c r="C123" s="165">
        <v>493</v>
      </c>
      <c r="D123" s="73">
        <v>456</v>
      </c>
      <c r="E123" s="77">
        <v>466</v>
      </c>
      <c r="F123" s="73">
        <v>112.61</v>
      </c>
      <c r="G123" s="78">
        <v>94.79</v>
      </c>
      <c r="H123" s="67">
        <v>94</v>
      </c>
      <c r="I123" s="77">
        <f t="shared" si="12"/>
        <v>973678.52913937613</v>
      </c>
      <c r="J123" s="77">
        <f t="shared" si="14"/>
        <v>954017.34753366897</v>
      </c>
      <c r="K123" s="77">
        <f t="shared" si="13"/>
        <v>778848.88054600579</v>
      </c>
      <c r="L123" s="77">
        <f t="shared" si="15"/>
        <v>762624.91644727741</v>
      </c>
      <c r="M123" s="77">
        <f t="shared" si="16"/>
        <v>797578.19996063889</v>
      </c>
      <c r="N123" s="77">
        <f t="shared" si="17"/>
        <v>781570.79257572326</v>
      </c>
      <c r="O123" s="77">
        <v>31978.744628376655</v>
      </c>
      <c r="P123" s="70">
        <v>15739.000288678835</v>
      </c>
      <c r="Q123" s="70">
        <v>15352.848965952246</v>
      </c>
      <c r="R123" s="70">
        <f t="shared" si="18"/>
        <v>985996.09216204565</v>
      </c>
      <c r="S123" s="77">
        <f t="shared" si="19"/>
        <v>778363.91673595621</v>
      </c>
      <c r="T123" s="77">
        <f t="shared" si="20"/>
        <v>796923.64154167555</v>
      </c>
    </row>
    <row r="124" spans="1:20" x14ac:dyDescent="0.3">
      <c r="A124" s="47">
        <v>2259</v>
      </c>
      <c r="B124" s="48" t="s">
        <v>221</v>
      </c>
      <c r="C124" s="165">
        <v>611</v>
      </c>
      <c r="D124" s="73">
        <v>630</v>
      </c>
      <c r="E124" s="77">
        <v>636</v>
      </c>
      <c r="F124" s="73">
        <v>88.1</v>
      </c>
      <c r="G124" s="78">
        <v>87.69</v>
      </c>
      <c r="H124" s="67">
        <v>91.23</v>
      </c>
      <c r="I124" s="77">
        <f t="shared" si="12"/>
        <v>944080.08023700933</v>
      </c>
      <c r="J124" s="77">
        <f t="shared" si="14"/>
        <v>925016.5707188556</v>
      </c>
      <c r="K124" s="77">
        <f t="shared" si="13"/>
        <v>995443.12985259935</v>
      </c>
      <c r="L124" s="77">
        <f t="shared" si="15"/>
        <v>974707.35683623119</v>
      </c>
      <c r="M124" s="77">
        <f t="shared" si="16"/>
        <v>1056463.0088579166</v>
      </c>
      <c r="N124" s="77">
        <f t="shared" si="17"/>
        <v>1035259.7791674399</v>
      </c>
      <c r="O124" s="77">
        <v>14746.479194018255</v>
      </c>
      <c r="P124" s="70">
        <v>14540.651697790305</v>
      </c>
      <c r="Q124" s="70">
        <v>16881.947819781122</v>
      </c>
      <c r="R124" s="70">
        <f t="shared" si="18"/>
        <v>939763.04991287389</v>
      </c>
      <c r="S124" s="77">
        <f t="shared" si="19"/>
        <v>989248.00853402144</v>
      </c>
      <c r="T124" s="77">
        <f t="shared" si="20"/>
        <v>1052141.726987221</v>
      </c>
    </row>
    <row r="125" spans="1:20" x14ac:dyDescent="0.3">
      <c r="A125" s="47">
        <v>2260</v>
      </c>
      <c r="B125" s="48" t="s">
        <v>223</v>
      </c>
      <c r="C125" s="165">
        <v>290</v>
      </c>
      <c r="D125" s="73">
        <v>291</v>
      </c>
      <c r="E125" s="77">
        <v>287</v>
      </c>
      <c r="F125" s="73">
        <v>107.57</v>
      </c>
      <c r="G125" s="78">
        <v>90.77</v>
      </c>
      <c r="H125" s="67">
        <v>89.44</v>
      </c>
      <c r="I125" s="77">
        <f t="shared" si="12"/>
        <v>547117.84754004015</v>
      </c>
      <c r="J125" s="77">
        <f t="shared" si="14"/>
        <v>536070.07043673249</v>
      </c>
      <c r="K125" s="77">
        <f t="shared" si="13"/>
        <v>475949.81080439658</v>
      </c>
      <c r="L125" s="77">
        <f t="shared" si="15"/>
        <v>466035.44508318783</v>
      </c>
      <c r="M125" s="77">
        <f t="shared" si="16"/>
        <v>467383.30144931114</v>
      </c>
      <c r="N125" s="77">
        <f t="shared" si="17"/>
        <v>458002.91102292394</v>
      </c>
      <c r="O125" s="77">
        <v>15612.475152251809</v>
      </c>
      <c r="P125" s="70">
        <v>7852.6345580122652</v>
      </c>
      <c r="Q125" s="70">
        <v>7402.1145891790575</v>
      </c>
      <c r="R125" s="70">
        <f t="shared" si="18"/>
        <v>551682.54558898427</v>
      </c>
      <c r="S125" s="77">
        <f t="shared" si="19"/>
        <v>473888.07964120008</v>
      </c>
      <c r="T125" s="77">
        <f t="shared" si="20"/>
        <v>465405.025612103</v>
      </c>
    </row>
    <row r="126" spans="1:20" x14ac:dyDescent="0.3">
      <c r="A126" s="47">
        <v>2261</v>
      </c>
      <c r="B126" s="48" t="s">
        <v>225</v>
      </c>
      <c r="C126" s="165">
        <v>166</v>
      </c>
      <c r="D126" s="73">
        <v>157</v>
      </c>
      <c r="E126" s="77">
        <v>176</v>
      </c>
      <c r="F126" s="73">
        <v>94.47</v>
      </c>
      <c r="G126" s="78">
        <v>89.76</v>
      </c>
      <c r="H126" s="67">
        <v>88</v>
      </c>
      <c r="I126" s="77">
        <f t="shared" si="12"/>
        <v>275038.64452272817</v>
      </c>
      <c r="J126" s="77">
        <f t="shared" si="14"/>
        <v>269484.87643940747</v>
      </c>
      <c r="K126" s="77">
        <f t="shared" si="13"/>
        <v>253926.67763033166</v>
      </c>
      <c r="L126" s="77">
        <f t="shared" si="15"/>
        <v>248637.20825509701</v>
      </c>
      <c r="M126" s="77">
        <f t="shared" si="16"/>
        <v>282003.72479660244</v>
      </c>
      <c r="N126" s="77">
        <f t="shared" si="17"/>
        <v>276343.90547467815</v>
      </c>
      <c r="O126" s="77">
        <v>5025.2420202970543</v>
      </c>
      <c r="P126" s="70">
        <v>4463.3434745448758</v>
      </c>
      <c r="Q126" s="70">
        <v>3970.7214369608637</v>
      </c>
      <c r="R126" s="70">
        <f t="shared" si="18"/>
        <v>274510.11845970451</v>
      </c>
      <c r="S126" s="77">
        <f t="shared" si="19"/>
        <v>253100.55172964188</v>
      </c>
      <c r="T126" s="77">
        <f t="shared" si="20"/>
        <v>280314.626911639</v>
      </c>
    </row>
    <row r="127" spans="1:20" x14ac:dyDescent="0.3">
      <c r="A127" s="47">
        <v>2262</v>
      </c>
      <c r="B127" s="48" t="s">
        <v>383</v>
      </c>
      <c r="C127" s="165">
        <v>3844</v>
      </c>
      <c r="D127" s="77">
        <v>3927</v>
      </c>
      <c r="E127" s="77">
        <v>4030</v>
      </c>
      <c r="F127" s="73">
        <v>101.24</v>
      </c>
      <c r="G127" s="78">
        <v>97.82</v>
      </c>
      <c r="H127" s="67">
        <v>98.31</v>
      </c>
      <c r="I127" s="77">
        <f t="shared" si="12"/>
        <v>6825386.2165698651</v>
      </c>
      <c r="J127" s="77">
        <f t="shared" si="14"/>
        <v>6687563.3582886169</v>
      </c>
      <c r="K127" s="77">
        <f t="shared" si="13"/>
        <v>6921725.8455650182</v>
      </c>
      <c r="L127" s="77">
        <f t="shared" si="15"/>
        <v>6777541.4801192312</v>
      </c>
      <c r="M127" s="77">
        <f t="shared" si="16"/>
        <v>7213769.2616579654</v>
      </c>
      <c r="N127" s="77">
        <f t="shared" si="17"/>
        <v>7068988.7957953839</v>
      </c>
      <c r="O127" s="77">
        <v>159997.60025985463</v>
      </c>
      <c r="P127" s="70">
        <v>142836.85683002873</v>
      </c>
      <c r="Q127" s="70">
        <v>143220.3752516961</v>
      </c>
      <c r="R127" s="70">
        <f t="shared" si="18"/>
        <v>6847560.9585484713</v>
      </c>
      <c r="S127" s="77">
        <f t="shared" si="19"/>
        <v>6920378.33694926</v>
      </c>
      <c r="T127" s="77">
        <f t="shared" si="20"/>
        <v>7212209.1710470803</v>
      </c>
    </row>
    <row r="128" spans="1:20" x14ac:dyDescent="0.3">
      <c r="A128" s="47">
        <v>2264</v>
      </c>
      <c r="B128" s="48" t="s">
        <v>228</v>
      </c>
      <c r="C128" s="165">
        <v>429</v>
      </c>
      <c r="D128" s="73">
        <v>424</v>
      </c>
      <c r="E128" s="77">
        <v>420</v>
      </c>
      <c r="F128" s="73">
        <v>113.34</v>
      </c>
      <c r="G128" s="78">
        <v>103.04</v>
      </c>
      <c r="H128" s="67">
        <v>103.52</v>
      </c>
      <c r="I128" s="77">
        <f t="shared" si="12"/>
        <v>852770.59378947213</v>
      </c>
      <c r="J128" s="77">
        <f t="shared" si="14"/>
        <v>835550.86776005954</v>
      </c>
      <c r="K128" s="77">
        <f t="shared" si="13"/>
        <v>787222.57668889535</v>
      </c>
      <c r="L128" s="77">
        <f t="shared" si="15"/>
        <v>770824.18267315836</v>
      </c>
      <c r="M128" s="77">
        <f t="shared" si="16"/>
        <v>791649.71256434661</v>
      </c>
      <c r="N128" s="77">
        <f t="shared" si="17"/>
        <v>775761.29001744871</v>
      </c>
      <c r="O128" s="77">
        <v>28071.56766173369</v>
      </c>
      <c r="P128" s="70">
        <v>19058.10405741425</v>
      </c>
      <c r="Q128" s="70">
        <v>19651.015100018845</v>
      </c>
      <c r="R128" s="70">
        <f t="shared" si="18"/>
        <v>863622.43542179326</v>
      </c>
      <c r="S128" s="77">
        <f t="shared" si="19"/>
        <v>789882.28673057258</v>
      </c>
      <c r="T128" s="77">
        <f t="shared" si="20"/>
        <v>795412.30511746753</v>
      </c>
    </row>
    <row r="129" spans="1:20" x14ac:dyDescent="0.3">
      <c r="A129" s="47">
        <v>2265</v>
      </c>
      <c r="B129" s="48" t="s">
        <v>230</v>
      </c>
      <c r="C129" s="165">
        <v>4654</v>
      </c>
      <c r="D129" s="77">
        <v>4764</v>
      </c>
      <c r="E129" s="77">
        <v>4774</v>
      </c>
      <c r="F129" s="73">
        <v>105.01</v>
      </c>
      <c r="G129" s="78">
        <v>102.63</v>
      </c>
      <c r="H129" s="67">
        <v>102.13</v>
      </c>
      <c r="I129" s="77">
        <f t="shared" si="12"/>
        <v>8571340.6000909097</v>
      </c>
      <c r="J129" s="77">
        <f t="shared" si="14"/>
        <v>8398262.2389076632</v>
      </c>
      <c r="K129" s="77">
        <f t="shared" si="13"/>
        <v>8809919.0072079878</v>
      </c>
      <c r="L129" s="77">
        <f t="shared" si="15"/>
        <v>8626402.2644151542</v>
      </c>
      <c r="M129" s="77">
        <f t="shared" si="16"/>
        <v>8877593.4229041357</v>
      </c>
      <c r="N129" s="77">
        <f t="shared" si="17"/>
        <v>8699419.9791902937</v>
      </c>
      <c r="O129" s="77">
        <v>219960.68838491451</v>
      </c>
      <c r="P129" s="70">
        <v>206322.35894869789</v>
      </c>
      <c r="Q129" s="70">
        <v>201962.31978812697</v>
      </c>
      <c r="R129" s="70">
        <f t="shared" si="18"/>
        <v>8618222.9272925779</v>
      </c>
      <c r="S129" s="77">
        <f t="shared" si="19"/>
        <v>8832724.6233638525</v>
      </c>
      <c r="T129" s="77">
        <f t="shared" si="20"/>
        <v>8901382.29897842</v>
      </c>
    </row>
    <row r="130" spans="1:20" x14ac:dyDescent="0.3">
      <c r="A130" s="47">
        <v>2266</v>
      </c>
      <c r="B130" s="48" t="s">
        <v>232</v>
      </c>
      <c r="C130" s="165">
        <v>597</v>
      </c>
      <c r="D130" s="73">
        <v>595</v>
      </c>
      <c r="E130" s="77">
        <v>595</v>
      </c>
      <c r="F130" s="73">
        <v>90.16</v>
      </c>
      <c r="G130" s="78">
        <v>86.86</v>
      </c>
      <c r="H130" s="67">
        <v>85.74</v>
      </c>
      <c r="I130" s="77">
        <f t="shared" si="12"/>
        <v>944017.29251276259</v>
      </c>
      <c r="J130" s="77">
        <f t="shared" si="14"/>
        <v>924955.05084720301</v>
      </c>
      <c r="K130" s="77">
        <f t="shared" si="13"/>
        <v>931242.14999996533</v>
      </c>
      <c r="L130" s="77">
        <f t="shared" si="15"/>
        <v>911843.72806446685</v>
      </c>
      <c r="M130" s="77">
        <f t="shared" si="16"/>
        <v>928880.72195351962</v>
      </c>
      <c r="N130" s="77">
        <f t="shared" si="17"/>
        <v>910238.07082659774</v>
      </c>
      <c r="O130" s="77">
        <v>15198.556063224683</v>
      </c>
      <c r="P130" s="70">
        <v>13399.305739891885</v>
      </c>
      <c r="Q130" s="70">
        <v>12868.824900906378</v>
      </c>
      <c r="R130" s="70">
        <f t="shared" si="18"/>
        <v>940153.60691042768</v>
      </c>
      <c r="S130" s="77">
        <f t="shared" si="19"/>
        <v>925243.03380435868</v>
      </c>
      <c r="T130" s="77">
        <f t="shared" si="20"/>
        <v>923106.89572750416</v>
      </c>
    </row>
    <row r="131" spans="1:20" x14ac:dyDescent="0.3">
      <c r="A131" s="47">
        <v>2270</v>
      </c>
      <c r="B131" s="48" t="s">
        <v>234</v>
      </c>
      <c r="C131" s="165">
        <v>185</v>
      </c>
      <c r="D131" s="73">
        <v>182</v>
      </c>
      <c r="E131" s="77">
        <v>180</v>
      </c>
      <c r="F131" s="73">
        <v>95.83</v>
      </c>
      <c r="G131" s="78">
        <v>103.09</v>
      </c>
      <c r="H131" s="67">
        <v>103.66</v>
      </c>
      <c r="I131" s="77">
        <f t="shared" si="12"/>
        <v>310931.65047317959</v>
      </c>
      <c r="J131" s="77">
        <f t="shared" si="14"/>
        <v>304653.10630899953</v>
      </c>
      <c r="K131" s="77">
        <f t="shared" si="13"/>
        <v>338075.54879805329</v>
      </c>
      <c r="L131" s="77">
        <f t="shared" si="15"/>
        <v>331033.19988626905</v>
      </c>
      <c r="M131" s="77">
        <f t="shared" si="16"/>
        <v>339737.28694698127</v>
      </c>
      <c r="N131" s="77">
        <f t="shared" si="17"/>
        <v>332918.75409807108</v>
      </c>
      <c r="O131" s="79">
        <v>5994.4616918300471</v>
      </c>
      <c r="P131" s="70">
        <v>8451.1906478354977</v>
      </c>
      <c r="Q131" s="70">
        <v>8520.1490106501624</v>
      </c>
      <c r="R131" s="70">
        <f t="shared" si="18"/>
        <v>310647.5680008296</v>
      </c>
      <c r="S131" s="77">
        <f t="shared" si="19"/>
        <v>339484.39053410455</v>
      </c>
      <c r="T131" s="77">
        <f t="shared" si="20"/>
        <v>341438.90310872125</v>
      </c>
    </row>
    <row r="132" spans="1:20" x14ac:dyDescent="0.3">
      <c r="A132" s="47">
        <v>2271</v>
      </c>
      <c r="B132" s="48" t="s">
        <v>384</v>
      </c>
      <c r="C132" s="165">
        <v>601</v>
      </c>
      <c r="D132" s="73">
        <v>597</v>
      </c>
      <c r="E132" s="77">
        <v>584</v>
      </c>
      <c r="F132" s="73">
        <v>109.88</v>
      </c>
      <c r="G132" s="78">
        <v>111.33</v>
      </c>
      <c r="H132" s="67">
        <v>111.52</v>
      </c>
      <c r="I132" s="77">
        <f t="shared" si="12"/>
        <v>1158203.4076193357</v>
      </c>
      <c r="J132" s="77">
        <f t="shared" si="14"/>
        <v>1134816.1736893854</v>
      </c>
      <c r="K132" s="77">
        <f t="shared" si="13"/>
        <v>1197601.6185616802</v>
      </c>
      <c r="L132" s="77">
        <f t="shared" si="15"/>
        <v>1172654.7435652076</v>
      </c>
      <c r="M132" s="77">
        <f t="shared" si="16"/>
        <v>1185837.3158161924</v>
      </c>
      <c r="N132" s="77">
        <f t="shared" si="17"/>
        <v>1162037.5416906693</v>
      </c>
      <c r="O132" s="77">
        <v>34809.679224298146</v>
      </c>
      <c r="P132" s="70">
        <v>37280.360102751059</v>
      </c>
      <c r="Q132" s="70">
        <v>37077.98794410174</v>
      </c>
      <c r="R132" s="70">
        <f t="shared" si="18"/>
        <v>1169625.8529136835</v>
      </c>
      <c r="S132" s="77">
        <f t="shared" si="19"/>
        <v>1209935.1036679586</v>
      </c>
      <c r="T132" s="77">
        <f t="shared" si="20"/>
        <v>1199115.5296347709</v>
      </c>
    </row>
    <row r="133" spans="1:20" x14ac:dyDescent="0.3">
      <c r="A133" s="47">
        <v>2272</v>
      </c>
      <c r="B133" s="48" t="s">
        <v>238</v>
      </c>
      <c r="C133" s="165">
        <v>1559</v>
      </c>
      <c r="D133" s="77">
        <v>1635</v>
      </c>
      <c r="E133" s="77">
        <v>1677</v>
      </c>
      <c r="F133" s="73">
        <v>95.89</v>
      </c>
      <c r="G133" s="82">
        <v>96.46</v>
      </c>
      <c r="H133" s="67">
        <v>97.47</v>
      </c>
      <c r="I133" s="77">
        <f t="shared" si="12"/>
        <v>2621869.9706224315</v>
      </c>
      <c r="J133" s="77">
        <f t="shared" si="14"/>
        <v>2568927.3821846219</v>
      </c>
      <c r="K133" s="77">
        <f t="shared" si="13"/>
        <v>2841782.5861960715</v>
      </c>
      <c r="L133" s="77">
        <f t="shared" si="15"/>
        <v>2782586.2776355259</v>
      </c>
      <c r="M133" s="77">
        <f t="shared" si="16"/>
        <v>2976209.7381705809</v>
      </c>
      <c r="N133" s="77">
        <f t="shared" si="17"/>
        <v>2916477.1605447121</v>
      </c>
      <c r="O133" s="77">
        <v>48582.325864618797</v>
      </c>
      <c r="P133" s="70">
        <v>52314.206200380468</v>
      </c>
      <c r="Q133" s="70">
        <v>56125.551737755377</v>
      </c>
      <c r="R133" s="70">
        <f t="shared" si="18"/>
        <v>2617509.7080492405</v>
      </c>
      <c r="S133" s="77">
        <f t="shared" si="19"/>
        <v>2834900.4838359063</v>
      </c>
      <c r="T133" s="77">
        <f t="shared" si="20"/>
        <v>2972602.7122824676</v>
      </c>
    </row>
    <row r="134" spans="1:20" x14ac:dyDescent="0.3">
      <c r="A134" s="47">
        <v>2274</v>
      </c>
      <c r="B134" s="48" t="s">
        <v>240</v>
      </c>
      <c r="C134" s="165">
        <v>941</v>
      </c>
      <c r="D134" s="73">
        <v>951</v>
      </c>
      <c r="E134" s="77">
        <v>941</v>
      </c>
      <c r="F134" s="73">
        <v>87.68</v>
      </c>
      <c r="G134" s="78">
        <v>99.03</v>
      </c>
      <c r="H134" s="67">
        <v>99.71</v>
      </c>
      <c r="I134" s="77">
        <f t="shared" si="12"/>
        <v>1447044.4776246548</v>
      </c>
      <c r="J134" s="77">
        <f t="shared" si="14"/>
        <v>1417824.7676129108</v>
      </c>
      <c r="K134" s="77">
        <f t="shared" si="13"/>
        <v>1696965.9573676221</v>
      </c>
      <c r="L134" s="77">
        <f t="shared" si="15"/>
        <v>1661616.9757400234</v>
      </c>
      <c r="M134" s="77">
        <f t="shared" si="16"/>
        <v>1708393.2403732273</v>
      </c>
      <c r="N134" s="77">
        <f t="shared" si="17"/>
        <v>1674105.7603823752</v>
      </c>
      <c r="O134" s="77">
        <v>21429.510325637457</v>
      </c>
      <c r="P134" s="70">
        <v>36098.994433375716</v>
      </c>
      <c r="Q134" s="70">
        <v>37100.104451911604</v>
      </c>
      <c r="R134" s="70">
        <f t="shared" si="18"/>
        <v>1439254.2779385482</v>
      </c>
      <c r="S134" s="77">
        <f t="shared" si="19"/>
        <v>1697715.9701733992</v>
      </c>
      <c r="T134" s="77">
        <f t="shared" si="20"/>
        <v>1711205.8648342867</v>
      </c>
    </row>
    <row r="135" spans="1:20" s="60" customFormat="1" x14ac:dyDescent="0.3">
      <c r="A135" s="58">
        <v>2275</v>
      </c>
      <c r="B135" s="59" t="s">
        <v>242</v>
      </c>
      <c r="C135" s="166">
        <f>6203+178</f>
        <v>6381</v>
      </c>
      <c r="D135" s="79">
        <f>6279+171</f>
        <v>6450</v>
      </c>
      <c r="E135" s="79">
        <v>6490</v>
      </c>
      <c r="F135" s="81">
        <v>102.38</v>
      </c>
      <c r="G135" s="84">
        <v>107.45</v>
      </c>
      <c r="H135" s="69">
        <v>107.28</v>
      </c>
      <c r="I135" s="77">
        <f t="shared" si="12"/>
        <v>11457650.892921813</v>
      </c>
      <c r="J135" s="77">
        <f t="shared" si="14"/>
        <v>11226290.183777243</v>
      </c>
      <c r="K135" s="77">
        <f t="shared" si="13"/>
        <v>12487973.502474783</v>
      </c>
      <c r="L135" s="77">
        <f t="shared" si="15"/>
        <v>12227840.325384011</v>
      </c>
      <c r="M135" s="77">
        <f t="shared" si="16"/>
        <v>12677189.035330903</v>
      </c>
      <c r="N135" s="77">
        <f t="shared" si="17"/>
        <v>12422757.646165375</v>
      </c>
      <c r="O135" s="83">
        <f>274265+3315</f>
        <v>277580</v>
      </c>
      <c r="P135" s="71">
        <f>334054+8269</f>
        <v>342323</v>
      </c>
      <c r="Q135" s="70">
        <v>337127.70792657614</v>
      </c>
      <c r="R135" s="70">
        <f t="shared" si="18"/>
        <v>11503870.183777243</v>
      </c>
      <c r="S135" s="77">
        <f t="shared" si="19"/>
        <v>12570163.325384011</v>
      </c>
      <c r="T135" s="77">
        <f t="shared" si="20"/>
        <v>12759885.354091952</v>
      </c>
    </row>
    <row r="136" spans="1:20" x14ac:dyDescent="0.3">
      <c r="A136" s="47">
        <v>2276</v>
      </c>
      <c r="B136" s="48" t="s">
        <v>309</v>
      </c>
      <c r="C136" s="165">
        <v>1022</v>
      </c>
      <c r="D136" s="77">
        <v>1029</v>
      </c>
      <c r="E136" s="77">
        <v>1079</v>
      </c>
      <c r="F136" s="80">
        <v>96.78</v>
      </c>
      <c r="G136" s="78">
        <v>98.16</v>
      </c>
      <c r="H136" s="67">
        <v>97.94</v>
      </c>
      <c r="I136" s="77">
        <f t="shared" ref="I136:I170" si="21">(C136*F136*$F$7)/100</f>
        <v>1734715.3808808841</v>
      </c>
      <c r="J136" s="77">
        <f t="shared" si="14"/>
        <v>1699686.8235932351</v>
      </c>
      <c r="K136" s="77">
        <f t="shared" ref="K136:K170" si="22">(D136*G136*$G$7)/100</f>
        <v>1820018.3159198035</v>
      </c>
      <c r="L136" s="77">
        <f t="shared" si="15"/>
        <v>1782106.0680446948</v>
      </c>
      <c r="M136" s="77">
        <f t="shared" si="16"/>
        <v>1924159.4102724046</v>
      </c>
      <c r="N136" s="77">
        <f t="shared" si="17"/>
        <v>1885541.4997587153</v>
      </c>
      <c r="O136" s="77">
        <v>34331.500169087616</v>
      </c>
      <c r="P136" s="70">
        <v>37813.570015825702</v>
      </c>
      <c r="Q136" s="70">
        <v>37507.829953351655</v>
      </c>
      <c r="R136" s="70">
        <f t="shared" si="18"/>
        <v>1734018.3237623228</v>
      </c>
      <c r="S136" s="77">
        <f t="shared" si="19"/>
        <v>1819919.6380605206</v>
      </c>
      <c r="T136" s="77">
        <f t="shared" si="20"/>
        <v>1923049.329712067</v>
      </c>
    </row>
    <row r="137" spans="1:20" x14ac:dyDescent="0.3">
      <c r="A137" s="47">
        <v>2277</v>
      </c>
      <c r="B137" s="48" t="s">
        <v>245</v>
      </c>
      <c r="C137" s="165">
        <v>486</v>
      </c>
      <c r="D137" s="73">
        <v>502</v>
      </c>
      <c r="E137" s="77">
        <v>513</v>
      </c>
      <c r="F137" s="73">
        <v>106.6</v>
      </c>
      <c r="G137" s="78">
        <v>86.54</v>
      </c>
      <c r="H137" s="67">
        <v>86.84</v>
      </c>
      <c r="I137" s="77">
        <f t="shared" si="21"/>
        <v>908626.06220217107</v>
      </c>
      <c r="J137" s="77">
        <f t="shared" ref="J137:J170" si="23">I137*$J$171</f>
        <v>890278.46442118089</v>
      </c>
      <c r="K137" s="77">
        <f t="shared" si="22"/>
        <v>782792.11445870576</v>
      </c>
      <c r="L137" s="77">
        <f t="shared" ref="L137:L170" si="24">K137*$L$171</f>
        <v>766486.01005390449</v>
      </c>
      <c r="M137" s="77">
        <f t="shared" ref="M137:M170" si="25">(E137*H137*$H$7)/100</f>
        <v>811141.61774702091</v>
      </c>
      <c r="N137" s="77">
        <f t="shared" ref="N137:N170" si="26">M137*$N$171</f>
        <v>794861.99234755931</v>
      </c>
      <c r="O137" s="77">
        <v>26349.595531149585</v>
      </c>
      <c r="P137" s="70">
        <v>11025.133191130893</v>
      </c>
      <c r="Q137" s="70">
        <v>11024.176867676952</v>
      </c>
      <c r="R137" s="70">
        <f t="shared" ref="R137:R170" si="27">J137+O137</f>
        <v>916628.05995233043</v>
      </c>
      <c r="S137" s="77">
        <f t="shared" ref="S137:S170" si="28">L137+P137</f>
        <v>777511.14324503543</v>
      </c>
      <c r="T137" s="77">
        <f t="shared" ref="T137:T170" si="29">N137+Q137</f>
        <v>805886.16921523621</v>
      </c>
    </row>
    <row r="138" spans="1:20" x14ac:dyDescent="0.3">
      <c r="A138" s="47">
        <v>2278</v>
      </c>
      <c r="B138" s="48" t="s">
        <v>247</v>
      </c>
      <c r="C138" s="165">
        <v>404</v>
      </c>
      <c r="D138" s="73">
        <v>403</v>
      </c>
      <c r="E138" s="77">
        <v>398</v>
      </c>
      <c r="F138" s="73">
        <v>105.75</v>
      </c>
      <c r="G138" s="78">
        <v>103.57</v>
      </c>
      <c r="H138" s="67">
        <v>103.49</v>
      </c>
      <c r="I138" s="77">
        <f t="shared" si="21"/>
        <v>749296.07346148742</v>
      </c>
      <c r="J138" s="77">
        <f t="shared" si="23"/>
        <v>734165.77559018577</v>
      </c>
      <c r="K138" s="77">
        <f t="shared" si="22"/>
        <v>752081.41447794973</v>
      </c>
      <c r="L138" s="77">
        <f t="shared" si="24"/>
        <v>736415.03532201226</v>
      </c>
      <c r="M138" s="77">
        <f t="shared" si="25"/>
        <v>749964.94451974134</v>
      </c>
      <c r="N138" s="77">
        <f t="shared" si="26"/>
        <v>734913.13594231836</v>
      </c>
      <c r="O138" s="77">
        <v>20325.448975909203</v>
      </c>
      <c r="P138" s="70">
        <v>19546.329133264091</v>
      </c>
      <c r="Q138" s="70">
        <v>18484.408459325932</v>
      </c>
      <c r="R138" s="70">
        <f t="shared" si="27"/>
        <v>754491.22456609493</v>
      </c>
      <c r="S138" s="77">
        <f t="shared" si="28"/>
        <v>755961.3644552764</v>
      </c>
      <c r="T138" s="77">
        <f t="shared" si="29"/>
        <v>753397.54440164426</v>
      </c>
    </row>
    <row r="139" spans="1:20" x14ac:dyDescent="0.3">
      <c r="A139" s="47">
        <v>2279</v>
      </c>
      <c r="B139" s="48" t="s">
        <v>249</v>
      </c>
      <c r="C139" s="165">
        <v>565</v>
      </c>
      <c r="D139" s="73">
        <v>576</v>
      </c>
      <c r="E139" s="77">
        <v>607</v>
      </c>
      <c r="F139" s="73">
        <v>92.5</v>
      </c>
      <c r="G139" s="78">
        <v>100.81</v>
      </c>
      <c r="H139" s="67">
        <v>102.5</v>
      </c>
      <c r="I139" s="77">
        <f t="shared" si="21"/>
        <v>916604.31241441343</v>
      </c>
      <c r="J139" s="77">
        <f t="shared" si="23"/>
        <v>898095.61235826334</v>
      </c>
      <c r="K139" s="77">
        <f t="shared" si="22"/>
        <v>1046289.6572191315</v>
      </c>
      <c r="L139" s="77">
        <f t="shared" si="24"/>
        <v>1024494.7156591027</v>
      </c>
      <c r="M139" s="77">
        <f t="shared" si="25"/>
        <v>1132849.0926867647</v>
      </c>
      <c r="N139" s="77">
        <f t="shared" si="26"/>
        <v>1110112.7930572564</v>
      </c>
      <c r="O139" s="77">
        <v>15961.871414508572</v>
      </c>
      <c r="P139" s="70">
        <v>22682.676587043232</v>
      </c>
      <c r="Q139" s="70">
        <v>24875.65662141177</v>
      </c>
      <c r="R139" s="70">
        <f t="shared" si="27"/>
        <v>914057.4837727719</v>
      </c>
      <c r="S139" s="77">
        <f t="shared" si="28"/>
        <v>1047177.3922461459</v>
      </c>
      <c r="T139" s="77">
        <f t="shared" si="29"/>
        <v>1134988.4496786681</v>
      </c>
    </row>
    <row r="140" spans="1:20" x14ac:dyDescent="0.3">
      <c r="A140" s="47">
        <v>2280</v>
      </c>
      <c r="B140" s="48" t="s">
        <v>251</v>
      </c>
      <c r="C140" s="165">
        <v>1991</v>
      </c>
      <c r="D140" s="77">
        <v>2011</v>
      </c>
      <c r="E140" s="77">
        <v>2033</v>
      </c>
      <c r="F140" s="73">
        <v>93.3</v>
      </c>
      <c r="G140" s="78">
        <v>101.48</v>
      </c>
      <c r="H140" s="67">
        <v>101.8</v>
      </c>
      <c r="I140" s="77">
        <f t="shared" si="21"/>
        <v>3257951.534185987</v>
      </c>
      <c r="J140" s="77">
        <f t="shared" si="23"/>
        <v>3192164.7525540241</v>
      </c>
      <c r="K140" s="77">
        <f t="shared" si="22"/>
        <v>3677209.4136066521</v>
      </c>
      <c r="L140" s="77">
        <f t="shared" si="24"/>
        <v>3600610.5829476966</v>
      </c>
      <c r="M140" s="77">
        <f t="shared" si="25"/>
        <v>3768292.9804797238</v>
      </c>
      <c r="N140" s="77">
        <f t="shared" si="26"/>
        <v>3692663.2793579609</v>
      </c>
      <c r="O140" s="77">
        <v>58217.811679338629</v>
      </c>
      <c r="P140" s="70">
        <v>84201.949332823147</v>
      </c>
      <c r="Q140" s="70">
        <v>85288.998724776073</v>
      </c>
      <c r="R140" s="70">
        <f t="shared" si="27"/>
        <v>3250382.5642333627</v>
      </c>
      <c r="S140" s="77">
        <f t="shared" si="28"/>
        <v>3684812.5322805196</v>
      </c>
      <c r="T140" s="77">
        <f t="shared" si="29"/>
        <v>3777952.2780827368</v>
      </c>
    </row>
    <row r="141" spans="1:20" x14ac:dyDescent="0.3">
      <c r="A141" s="47">
        <v>2281</v>
      </c>
      <c r="B141" s="48" t="s">
        <v>253</v>
      </c>
      <c r="C141" s="165">
        <v>1366</v>
      </c>
      <c r="D141" s="77">
        <v>1368</v>
      </c>
      <c r="E141" s="77">
        <v>1360</v>
      </c>
      <c r="F141" s="73">
        <v>88.84</v>
      </c>
      <c r="G141" s="78">
        <v>95.34</v>
      </c>
      <c r="H141" s="67">
        <v>95.07</v>
      </c>
      <c r="I141" s="77">
        <f t="shared" si="21"/>
        <v>2128388.7995971991</v>
      </c>
      <c r="J141" s="77">
        <f t="shared" si="23"/>
        <v>2085410.9198719254</v>
      </c>
      <c r="K141" s="77">
        <f t="shared" si="22"/>
        <v>2350103.9857977484</v>
      </c>
      <c r="L141" s="77">
        <f t="shared" si="24"/>
        <v>2301149.6845896221</v>
      </c>
      <c r="M141" s="77">
        <f t="shared" si="25"/>
        <v>2354192.1486519678</v>
      </c>
      <c r="N141" s="77">
        <f t="shared" si="26"/>
        <v>2306943.4741173559</v>
      </c>
      <c r="O141" s="77">
        <v>33207.769008143892</v>
      </c>
      <c r="P141" s="70">
        <v>45749.257560124635</v>
      </c>
      <c r="Q141" s="70">
        <v>44509.766797737793</v>
      </c>
      <c r="R141" s="70">
        <f t="shared" si="27"/>
        <v>2118618.6888800692</v>
      </c>
      <c r="S141" s="77">
        <f t="shared" si="28"/>
        <v>2346898.9421497467</v>
      </c>
      <c r="T141" s="77">
        <f t="shared" si="29"/>
        <v>2351453.2409150936</v>
      </c>
    </row>
    <row r="142" spans="1:20" x14ac:dyDescent="0.3">
      <c r="A142" s="47">
        <v>2283</v>
      </c>
      <c r="B142" s="48" t="s">
        <v>255</v>
      </c>
      <c r="C142" s="165">
        <v>458</v>
      </c>
      <c r="D142" s="73">
        <v>451</v>
      </c>
      <c r="E142" s="77">
        <v>459</v>
      </c>
      <c r="F142" s="73">
        <v>81.819999999999993</v>
      </c>
      <c r="G142" s="78">
        <v>103.73</v>
      </c>
      <c r="H142" s="67">
        <v>105.27</v>
      </c>
      <c r="I142" s="77">
        <f t="shared" si="21"/>
        <v>657228.9250900792</v>
      </c>
      <c r="J142" s="77">
        <f t="shared" si="23"/>
        <v>643957.7099343529</v>
      </c>
      <c r="K142" s="77">
        <f t="shared" si="22"/>
        <v>842959.58621703391</v>
      </c>
      <c r="L142" s="77">
        <f t="shared" si="24"/>
        <v>825400.15151145076</v>
      </c>
      <c r="M142" s="77">
        <f t="shared" si="25"/>
        <v>879785.52674240049</v>
      </c>
      <c r="N142" s="77">
        <f t="shared" si="26"/>
        <v>862128.21697815019</v>
      </c>
      <c r="O142" s="77">
        <v>7784.870487365939</v>
      </c>
      <c r="P142" s="70">
        <v>20510.282118380663</v>
      </c>
      <c r="Q142" s="70">
        <v>22434.407988899005</v>
      </c>
      <c r="R142" s="70">
        <f t="shared" si="27"/>
        <v>651742.58042171889</v>
      </c>
      <c r="S142" s="77">
        <f t="shared" si="28"/>
        <v>845910.43362983142</v>
      </c>
      <c r="T142" s="77">
        <f t="shared" si="29"/>
        <v>884562.62496704923</v>
      </c>
    </row>
    <row r="143" spans="1:20" x14ac:dyDescent="0.3">
      <c r="A143" s="47">
        <v>2291</v>
      </c>
      <c r="B143" s="48" t="s">
        <v>385</v>
      </c>
      <c r="C143" s="165">
        <v>1946</v>
      </c>
      <c r="D143" s="77">
        <v>1994</v>
      </c>
      <c r="E143" s="77">
        <v>2001</v>
      </c>
      <c r="F143" s="73">
        <v>101.53</v>
      </c>
      <c r="G143" s="78">
        <v>89.42</v>
      </c>
      <c r="H143" s="67">
        <v>90.33</v>
      </c>
      <c r="I143" s="77">
        <f t="shared" si="21"/>
        <v>3465205.0426891423</v>
      </c>
      <c r="J143" s="77">
        <f t="shared" si="23"/>
        <v>3395233.2567183222</v>
      </c>
      <c r="K143" s="77">
        <f t="shared" si="22"/>
        <v>3212814.5178598193</v>
      </c>
      <c r="L143" s="77">
        <f t="shared" si="24"/>
        <v>3145889.3560016039</v>
      </c>
      <c r="M143" s="77">
        <f t="shared" si="25"/>
        <v>3291081.2447194648</v>
      </c>
      <c r="N143" s="77">
        <f t="shared" si="26"/>
        <v>3225029.1908598188</v>
      </c>
      <c r="O143" s="77">
        <v>80495.038023485744</v>
      </c>
      <c r="P143" s="70">
        <v>49882.80903727156</v>
      </c>
      <c r="Q143" s="70">
        <v>51677.502985840911</v>
      </c>
      <c r="R143" s="70">
        <f t="shared" si="27"/>
        <v>3475728.294741808</v>
      </c>
      <c r="S143" s="77">
        <f t="shared" si="28"/>
        <v>3195772.1650388753</v>
      </c>
      <c r="T143" s="77">
        <f t="shared" si="29"/>
        <v>3276706.69384566</v>
      </c>
    </row>
    <row r="144" spans="1:20" x14ac:dyDescent="0.3">
      <c r="A144" s="47">
        <v>2292</v>
      </c>
      <c r="B144" s="48" t="s">
        <v>258</v>
      </c>
      <c r="C144" s="165">
        <v>644</v>
      </c>
      <c r="D144" s="73">
        <v>650</v>
      </c>
      <c r="E144" s="77">
        <v>651</v>
      </c>
      <c r="F144" s="73">
        <v>94.8</v>
      </c>
      <c r="G144" s="78">
        <v>91.86</v>
      </c>
      <c r="H144" s="67">
        <v>91.4</v>
      </c>
      <c r="I144" s="77">
        <f t="shared" si="21"/>
        <v>1070744.6677459907</v>
      </c>
      <c r="J144" s="77">
        <f t="shared" si="23"/>
        <v>1049123.4604009914</v>
      </c>
      <c r="K144" s="77">
        <f t="shared" si="22"/>
        <v>1075884.4529949271</v>
      </c>
      <c r="L144" s="77">
        <f t="shared" si="24"/>
        <v>1053473.0312470612</v>
      </c>
      <c r="M144" s="77">
        <f t="shared" si="25"/>
        <v>1083394.655902154</v>
      </c>
      <c r="N144" s="77">
        <f t="shared" si="26"/>
        <v>1061650.9076195129</v>
      </c>
      <c r="O144" s="77">
        <v>20093.03914132922</v>
      </c>
      <c r="P144" s="70">
        <v>18431.715162026543</v>
      </c>
      <c r="Q144" s="70">
        <v>17926.738944422039</v>
      </c>
      <c r="R144" s="70">
        <f t="shared" si="27"/>
        <v>1069216.4995423206</v>
      </c>
      <c r="S144" s="77">
        <f t="shared" si="28"/>
        <v>1071904.7464090877</v>
      </c>
      <c r="T144" s="77">
        <f t="shared" si="29"/>
        <v>1079577.6465639349</v>
      </c>
    </row>
    <row r="145" spans="1:20" x14ac:dyDescent="0.3">
      <c r="A145" s="47">
        <v>2293</v>
      </c>
      <c r="B145" s="48" t="s">
        <v>260</v>
      </c>
      <c r="C145" s="165">
        <v>7383</v>
      </c>
      <c r="D145" s="77">
        <v>7504</v>
      </c>
      <c r="E145" s="77">
        <v>7664</v>
      </c>
      <c r="F145" s="73">
        <v>96.82</v>
      </c>
      <c r="G145" s="78">
        <v>94.28</v>
      </c>
      <c r="H145" s="67">
        <v>94.24</v>
      </c>
      <c r="I145" s="77">
        <f t="shared" si="21"/>
        <v>12536885.583448067</v>
      </c>
      <c r="J145" s="77">
        <f t="shared" si="23"/>
        <v>12283732.230622249</v>
      </c>
      <c r="K145" s="77">
        <f t="shared" si="22"/>
        <v>12747887.826921009</v>
      </c>
      <c r="L145" s="77">
        <f t="shared" si="24"/>
        <v>12482340.45360567</v>
      </c>
      <c r="M145" s="77">
        <f t="shared" si="25"/>
        <v>13150742.62489095</v>
      </c>
      <c r="N145" s="77">
        <f t="shared" si="26"/>
        <v>12886807.007516762</v>
      </c>
      <c r="O145" s="77">
        <v>254543.55116386176</v>
      </c>
      <c r="P145" s="70">
        <v>234080.87730676672</v>
      </c>
      <c r="Q145" s="70">
        <v>232276.15167376408</v>
      </c>
      <c r="R145" s="70">
        <f t="shared" si="27"/>
        <v>12538275.78178611</v>
      </c>
      <c r="S145" s="77">
        <f t="shared" si="28"/>
        <v>12716421.330912437</v>
      </c>
      <c r="T145" s="77">
        <f t="shared" si="29"/>
        <v>13119083.159190526</v>
      </c>
    </row>
    <row r="146" spans="1:20" x14ac:dyDescent="0.3">
      <c r="A146" s="47">
        <v>2294</v>
      </c>
      <c r="B146" s="48" t="s">
        <v>262</v>
      </c>
      <c r="C146" s="165">
        <v>1410</v>
      </c>
      <c r="D146" s="77">
        <v>1431</v>
      </c>
      <c r="E146" s="77">
        <v>1466</v>
      </c>
      <c r="F146" s="73">
        <v>97.76</v>
      </c>
      <c r="G146" s="78">
        <v>96.37</v>
      </c>
      <c r="H146" s="67">
        <v>96.71</v>
      </c>
      <c r="I146" s="77">
        <f t="shared" si="21"/>
        <v>2417530.8297556108</v>
      </c>
      <c r="J146" s="77">
        <f t="shared" si="23"/>
        <v>2368714.3967556623</v>
      </c>
      <c r="K146" s="77">
        <f t="shared" si="22"/>
        <v>2484890.9068307681</v>
      </c>
      <c r="L146" s="77">
        <f t="shared" si="24"/>
        <v>2433128.900273839</v>
      </c>
      <c r="M146" s="77">
        <f t="shared" si="25"/>
        <v>2581456.7800856428</v>
      </c>
      <c r="N146" s="77">
        <f t="shared" si="26"/>
        <v>2529646.9007190522</v>
      </c>
      <c r="O146" s="77">
        <v>51754.891360927206</v>
      </c>
      <c r="P146" s="70">
        <v>49537.694709122727</v>
      </c>
      <c r="Q146" s="70">
        <v>49196.622676934545</v>
      </c>
      <c r="R146" s="70">
        <f t="shared" si="27"/>
        <v>2420469.2881165897</v>
      </c>
      <c r="S146" s="77">
        <f t="shared" si="28"/>
        <v>2482666.5949829617</v>
      </c>
      <c r="T146" s="77">
        <f t="shared" si="29"/>
        <v>2578843.5233959868</v>
      </c>
    </row>
    <row r="147" spans="1:20" x14ac:dyDescent="0.3">
      <c r="A147" s="47">
        <v>2295</v>
      </c>
      <c r="B147" s="48" t="s">
        <v>264</v>
      </c>
      <c r="C147" s="165">
        <v>3308</v>
      </c>
      <c r="D147" s="77">
        <v>3346</v>
      </c>
      <c r="E147" s="77">
        <v>3309</v>
      </c>
      <c r="F147" s="73">
        <v>109.42</v>
      </c>
      <c r="G147" s="78">
        <v>88.58</v>
      </c>
      <c r="H147" s="67">
        <v>88.48</v>
      </c>
      <c r="I147" s="77">
        <f t="shared" si="21"/>
        <v>6348248.6200121688</v>
      </c>
      <c r="J147" s="77">
        <f t="shared" si="23"/>
        <v>6220060.4498297982</v>
      </c>
      <c r="K147" s="77">
        <f t="shared" si="22"/>
        <v>5340567.9689106913</v>
      </c>
      <c r="L147" s="77">
        <f t="shared" si="24"/>
        <v>5229320.2221928891</v>
      </c>
      <c r="M147" s="77">
        <f t="shared" si="25"/>
        <v>5330910.4330540551</v>
      </c>
      <c r="N147" s="77">
        <f t="shared" si="26"/>
        <v>5223918.9743624758</v>
      </c>
      <c r="O147" s="77">
        <v>187523.18430498432</v>
      </c>
      <c r="P147" s="70">
        <v>81825.802804630745</v>
      </c>
      <c r="Q147" s="70">
        <v>80867.981041651859</v>
      </c>
      <c r="R147" s="70">
        <f t="shared" si="27"/>
        <v>6407583.6341347825</v>
      </c>
      <c r="S147" s="77">
        <f t="shared" si="28"/>
        <v>5311146.0249975203</v>
      </c>
      <c r="T147" s="77">
        <f t="shared" si="29"/>
        <v>5304786.9554041279</v>
      </c>
    </row>
    <row r="148" spans="1:20" x14ac:dyDescent="0.3">
      <c r="A148" s="47">
        <v>2296</v>
      </c>
      <c r="B148" s="48" t="s">
        <v>266</v>
      </c>
      <c r="C148" s="165">
        <v>1327</v>
      </c>
      <c r="D148" s="77">
        <v>1366</v>
      </c>
      <c r="E148" s="77">
        <v>1377</v>
      </c>
      <c r="F148" s="73">
        <v>99.23</v>
      </c>
      <c r="G148" s="78">
        <v>92.29</v>
      </c>
      <c r="H148" s="67">
        <v>92.17</v>
      </c>
      <c r="I148" s="77">
        <f t="shared" si="21"/>
        <v>2309434.3963073092</v>
      </c>
      <c r="J148" s="77">
        <f t="shared" si="23"/>
        <v>2262800.7202906483</v>
      </c>
      <c r="K148" s="77">
        <f t="shared" si="22"/>
        <v>2271596.4401344508</v>
      </c>
      <c r="L148" s="77">
        <f t="shared" si="24"/>
        <v>2224277.5057274266</v>
      </c>
      <c r="M148" s="77">
        <f t="shared" si="25"/>
        <v>2310910.0028454559</v>
      </c>
      <c r="N148" s="77">
        <f t="shared" si="26"/>
        <v>2264530.0016778596</v>
      </c>
      <c r="O148" s="77">
        <v>49092.534410757216</v>
      </c>
      <c r="P148" s="70">
        <v>37851.95423015995</v>
      </c>
      <c r="Q148" s="70">
        <v>38199.696877273847</v>
      </c>
      <c r="R148" s="70">
        <f t="shared" si="27"/>
        <v>2311893.2547014053</v>
      </c>
      <c r="S148" s="77">
        <f t="shared" si="28"/>
        <v>2262129.4599575866</v>
      </c>
      <c r="T148" s="77">
        <f t="shared" si="29"/>
        <v>2302729.6985551333</v>
      </c>
    </row>
    <row r="149" spans="1:20" x14ac:dyDescent="0.3">
      <c r="A149" s="47">
        <v>2298</v>
      </c>
      <c r="B149" s="48" t="s">
        <v>268</v>
      </c>
      <c r="C149" s="165">
        <v>1140</v>
      </c>
      <c r="D149" s="77">
        <v>1160</v>
      </c>
      <c r="E149" s="77">
        <v>1159</v>
      </c>
      <c r="F149" s="73">
        <v>109.98</v>
      </c>
      <c r="G149" s="78">
        <v>104.74</v>
      </c>
      <c r="H149" s="67">
        <v>103.98</v>
      </c>
      <c r="I149" s="77">
        <f t="shared" si="21"/>
        <v>2198924.3185543059</v>
      </c>
      <c r="J149" s="77">
        <f t="shared" si="23"/>
        <v>2154522.1374745653</v>
      </c>
      <c r="K149" s="77">
        <f t="shared" si="22"/>
        <v>2189255.214854693</v>
      </c>
      <c r="L149" s="77">
        <f t="shared" si="24"/>
        <v>2143651.5054626265</v>
      </c>
      <c r="M149" s="77">
        <f t="shared" si="25"/>
        <v>2194283.5824988694</v>
      </c>
      <c r="N149" s="77">
        <f t="shared" si="26"/>
        <v>2150244.2754756524</v>
      </c>
      <c r="O149" s="77">
        <v>64206.17350582646</v>
      </c>
      <c r="P149" s="70">
        <v>55297.897819242295</v>
      </c>
      <c r="Q149" s="70">
        <v>53153.852584469794</v>
      </c>
      <c r="R149" s="70">
        <f t="shared" si="27"/>
        <v>2218728.3109803917</v>
      </c>
      <c r="S149" s="77">
        <f t="shared" si="28"/>
        <v>2198949.4032818689</v>
      </c>
      <c r="T149" s="77">
        <f t="shared" si="29"/>
        <v>2203398.128060122</v>
      </c>
    </row>
    <row r="150" spans="1:20" x14ac:dyDescent="0.3">
      <c r="A150" s="47">
        <v>2299</v>
      </c>
      <c r="B150" s="48" t="s">
        <v>270</v>
      </c>
      <c r="C150" s="165">
        <v>1904</v>
      </c>
      <c r="D150" s="77">
        <v>1944</v>
      </c>
      <c r="E150" s="77">
        <v>1944</v>
      </c>
      <c r="F150" s="73">
        <v>99.24</v>
      </c>
      <c r="G150" s="78">
        <v>85.29</v>
      </c>
      <c r="H150" s="67">
        <v>85.05</v>
      </c>
      <c r="I150" s="77">
        <f t="shared" si="21"/>
        <v>3313945.9072847287</v>
      </c>
      <c r="J150" s="77">
        <f t="shared" si="23"/>
        <v>3247028.4490429354</v>
      </c>
      <c r="K150" s="77">
        <f t="shared" si="22"/>
        <v>2987584.5790768927</v>
      </c>
      <c r="L150" s="77">
        <f t="shared" si="24"/>
        <v>2925351.1135567543</v>
      </c>
      <c r="M150" s="77">
        <f t="shared" si="25"/>
        <v>3010440.7442820775</v>
      </c>
      <c r="N150" s="77">
        <f t="shared" si="26"/>
        <v>2950021.1498093978</v>
      </c>
      <c r="O150" s="77">
        <v>74210.739856649991</v>
      </c>
      <c r="P150" s="70">
        <v>40900.927520932615</v>
      </c>
      <c r="Q150" s="70">
        <v>39736.980179619211</v>
      </c>
      <c r="R150" s="70">
        <f t="shared" si="27"/>
        <v>3321239.1888995855</v>
      </c>
      <c r="S150" s="77">
        <f t="shared" si="28"/>
        <v>2966252.0410776869</v>
      </c>
      <c r="T150" s="77">
        <f t="shared" si="29"/>
        <v>2989758.1299890168</v>
      </c>
    </row>
    <row r="151" spans="1:20" x14ac:dyDescent="0.3">
      <c r="A151" s="47">
        <v>2300</v>
      </c>
      <c r="B151" s="48" t="s">
        <v>272</v>
      </c>
      <c r="C151" s="165">
        <v>1014</v>
      </c>
      <c r="D151" s="77">
        <v>1020</v>
      </c>
      <c r="E151" s="77">
        <v>1043</v>
      </c>
      <c r="F151" s="73">
        <v>92.03</v>
      </c>
      <c r="G151" s="78">
        <v>80.739999999999995</v>
      </c>
      <c r="H151" s="67">
        <v>80.900000000000006</v>
      </c>
      <c r="I151" s="77">
        <f t="shared" si="21"/>
        <v>1636662.3525414867</v>
      </c>
      <c r="J151" s="77">
        <f t="shared" si="23"/>
        <v>1603613.7489443792</v>
      </c>
      <c r="K151" s="77">
        <f t="shared" si="22"/>
        <v>1483934.5651326703</v>
      </c>
      <c r="L151" s="77">
        <f t="shared" si="24"/>
        <v>1453023.175630901</v>
      </c>
      <c r="M151" s="77">
        <f t="shared" si="25"/>
        <v>1536357.6764911597</v>
      </c>
      <c r="N151" s="77">
        <f t="shared" si="26"/>
        <v>1505522.9530524423</v>
      </c>
      <c r="O151" s="77">
        <v>28558.610983075472</v>
      </c>
      <c r="P151" s="70">
        <v>17411.830778095285</v>
      </c>
      <c r="Q151" s="70">
        <v>17324.578824140746</v>
      </c>
      <c r="R151" s="70">
        <f t="shared" si="27"/>
        <v>1632172.3599274547</v>
      </c>
      <c r="S151" s="77">
        <f t="shared" si="28"/>
        <v>1470435.0064089962</v>
      </c>
      <c r="T151" s="77">
        <f t="shared" si="29"/>
        <v>1522847.5318765831</v>
      </c>
    </row>
    <row r="152" spans="1:20" x14ac:dyDescent="0.3">
      <c r="A152" s="47">
        <v>2301</v>
      </c>
      <c r="B152" s="48" t="s">
        <v>274</v>
      </c>
      <c r="C152" s="165">
        <v>1084</v>
      </c>
      <c r="D152" s="77">
        <v>1084</v>
      </c>
      <c r="E152" s="77">
        <v>1083</v>
      </c>
      <c r="F152" s="73">
        <v>85.91</v>
      </c>
      <c r="G152" s="78">
        <v>88.12</v>
      </c>
      <c r="H152" s="67">
        <v>90.44</v>
      </c>
      <c r="I152" s="77">
        <f t="shared" si="21"/>
        <v>1633295.3169825808</v>
      </c>
      <c r="J152" s="77">
        <f t="shared" si="23"/>
        <v>1600314.7028662057</v>
      </c>
      <c r="K152" s="77">
        <f t="shared" si="22"/>
        <v>1721193.1331916072</v>
      </c>
      <c r="L152" s="77">
        <f t="shared" si="24"/>
        <v>1685339.4826345155</v>
      </c>
      <c r="M152" s="77">
        <f t="shared" si="25"/>
        <v>1783398.9844308444</v>
      </c>
      <c r="N152" s="77">
        <f t="shared" si="26"/>
        <v>1747606.1379425151</v>
      </c>
      <c r="O152" s="77">
        <v>23622.667420254409</v>
      </c>
      <c r="P152" s="70">
        <v>26461.088428687264</v>
      </c>
      <c r="Q152" s="70">
        <v>28926.916420967282</v>
      </c>
      <c r="R152" s="70">
        <f t="shared" si="27"/>
        <v>1623937.37028646</v>
      </c>
      <c r="S152" s="77">
        <f t="shared" si="28"/>
        <v>1711800.5710632028</v>
      </c>
      <c r="T152" s="77">
        <f t="shared" si="29"/>
        <v>1776533.0543634824</v>
      </c>
    </row>
    <row r="153" spans="1:20" x14ac:dyDescent="0.3">
      <c r="A153" s="47">
        <v>2302</v>
      </c>
      <c r="B153" s="48" t="s">
        <v>276</v>
      </c>
      <c r="C153" s="165">
        <v>1924</v>
      </c>
      <c r="D153" s="77">
        <v>1925</v>
      </c>
      <c r="E153" s="77">
        <v>1908</v>
      </c>
      <c r="F153" s="73">
        <v>97.54</v>
      </c>
      <c r="G153" s="78">
        <v>84.59</v>
      </c>
      <c r="H153" s="67">
        <v>85.47</v>
      </c>
      <c r="I153" s="77">
        <f t="shared" si="21"/>
        <v>3291391.4342732024</v>
      </c>
      <c r="J153" s="77">
        <f t="shared" si="23"/>
        <v>3224929.4113487438</v>
      </c>
      <c r="K153" s="77">
        <f t="shared" si="22"/>
        <v>2934104.6042768885</v>
      </c>
      <c r="L153" s="77">
        <f t="shared" si="24"/>
        <v>2872985.1638427824</v>
      </c>
      <c r="M153" s="77">
        <f t="shared" si="25"/>
        <v>2969282.9124329537</v>
      </c>
      <c r="N153" s="77">
        <f t="shared" si="26"/>
        <v>2909689.3563117753</v>
      </c>
      <c r="O153" s="77">
        <v>70628.470042712186</v>
      </c>
      <c r="P153" s="70">
        <v>39864.548134053883</v>
      </c>
      <c r="Q153" s="70">
        <v>40953.453201717632</v>
      </c>
      <c r="R153" s="70">
        <f t="shared" si="27"/>
        <v>3295557.8813914559</v>
      </c>
      <c r="S153" s="77">
        <f t="shared" si="28"/>
        <v>2912849.7119768364</v>
      </c>
      <c r="T153" s="77">
        <f t="shared" si="29"/>
        <v>2950642.809513493</v>
      </c>
    </row>
    <row r="154" spans="1:20" x14ac:dyDescent="0.3">
      <c r="A154" s="47">
        <v>2303</v>
      </c>
      <c r="B154" s="48" t="s">
        <v>278</v>
      </c>
      <c r="C154" s="165">
        <v>935</v>
      </c>
      <c r="D154" s="73">
        <v>942</v>
      </c>
      <c r="E154" s="77">
        <v>955</v>
      </c>
      <c r="F154" s="73">
        <v>96.04</v>
      </c>
      <c r="G154" s="78">
        <v>85.45</v>
      </c>
      <c r="H154" s="67">
        <v>86.1</v>
      </c>
      <c r="I154" s="77">
        <f t="shared" si="21"/>
        <v>1574909.0472825076</v>
      </c>
      <c r="J154" s="77">
        <f t="shared" si="23"/>
        <v>1543107.4085851216</v>
      </c>
      <c r="K154" s="77">
        <f t="shared" si="22"/>
        <v>1450403.3825876901</v>
      </c>
      <c r="L154" s="77">
        <f t="shared" si="24"/>
        <v>1420190.470949067</v>
      </c>
      <c r="M154" s="77">
        <f t="shared" si="25"/>
        <v>1497152.4582427063</v>
      </c>
      <c r="N154" s="77">
        <f t="shared" si="26"/>
        <v>1467104.5841689145</v>
      </c>
      <c r="O154" s="77">
        <v>31424.94834757784</v>
      </c>
      <c r="P154" s="70">
        <v>19881.960256194649</v>
      </c>
      <c r="Q154" s="70">
        <v>20495.327413186878</v>
      </c>
      <c r="R154" s="70">
        <f t="shared" si="27"/>
        <v>1574532.3569326994</v>
      </c>
      <c r="S154" s="77">
        <f t="shared" si="28"/>
        <v>1440072.4312052617</v>
      </c>
      <c r="T154" s="77">
        <f t="shared" si="29"/>
        <v>1487599.9115821014</v>
      </c>
    </row>
    <row r="155" spans="1:20" x14ac:dyDescent="0.3">
      <c r="A155" s="47">
        <v>2304</v>
      </c>
      <c r="B155" s="48" t="s">
        <v>280</v>
      </c>
      <c r="C155" s="165">
        <v>1248</v>
      </c>
      <c r="D155" s="77">
        <v>1252</v>
      </c>
      <c r="E155" s="77">
        <v>1281</v>
      </c>
      <c r="F155" s="73">
        <v>101.4</v>
      </c>
      <c r="G155" s="78">
        <v>93.9</v>
      </c>
      <c r="H155" s="67">
        <v>94.11</v>
      </c>
      <c r="I155" s="77">
        <f t="shared" si="21"/>
        <v>2219444.3289924758</v>
      </c>
      <c r="J155" s="77">
        <f t="shared" si="23"/>
        <v>2174627.7938526408</v>
      </c>
      <c r="K155" s="77">
        <f t="shared" si="22"/>
        <v>2118340.4305975987</v>
      </c>
      <c r="L155" s="77">
        <f t="shared" si="24"/>
        <v>2074213.9255035592</v>
      </c>
      <c r="M155" s="77">
        <f t="shared" si="25"/>
        <v>2195049.9523837282</v>
      </c>
      <c r="N155" s="77">
        <f t="shared" si="26"/>
        <v>2150995.2643045154</v>
      </c>
      <c r="O155" s="77">
        <v>52347.716217631751</v>
      </c>
      <c r="P155" s="70">
        <v>39336.86006015676</v>
      </c>
      <c r="Q155" s="70">
        <v>39047.058482224864</v>
      </c>
      <c r="R155" s="70">
        <f t="shared" si="27"/>
        <v>2226975.5100702727</v>
      </c>
      <c r="S155" s="77">
        <f t="shared" si="28"/>
        <v>2113550.7855637157</v>
      </c>
      <c r="T155" s="77">
        <f t="shared" si="29"/>
        <v>2190042.3227867405</v>
      </c>
    </row>
    <row r="156" spans="1:20" x14ac:dyDescent="0.3">
      <c r="A156" s="47">
        <v>2305</v>
      </c>
      <c r="B156" s="48" t="s">
        <v>282</v>
      </c>
      <c r="C156" s="165">
        <v>3901</v>
      </c>
      <c r="D156" s="77">
        <v>3949</v>
      </c>
      <c r="E156" s="77">
        <v>4006</v>
      </c>
      <c r="F156" s="73">
        <v>102</v>
      </c>
      <c r="G156" s="78">
        <v>99.3</v>
      </c>
      <c r="H156" s="67">
        <v>99.1</v>
      </c>
      <c r="I156" s="77">
        <f t="shared" si="21"/>
        <v>6978592.472964745</v>
      </c>
      <c r="J156" s="77">
        <f t="shared" si="23"/>
        <v>6837675.9693581015</v>
      </c>
      <c r="K156" s="77">
        <f t="shared" si="22"/>
        <v>7065814.2506872145</v>
      </c>
      <c r="L156" s="77">
        <f t="shared" si="24"/>
        <v>6918628.4235071475</v>
      </c>
      <c r="M156" s="77">
        <f t="shared" si="25"/>
        <v>7228432.0715481183</v>
      </c>
      <c r="N156" s="77">
        <f t="shared" si="26"/>
        <v>7083357.3228536705</v>
      </c>
      <c r="O156" s="77">
        <v>161830.64361264717</v>
      </c>
      <c r="P156" s="70">
        <v>149477.17299776673</v>
      </c>
      <c r="Q156" s="70">
        <v>150072.53275564025</v>
      </c>
      <c r="R156" s="70">
        <f t="shared" si="27"/>
        <v>6999506.6129707489</v>
      </c>
      <c r="S156" s="77">
        <f t="shared" si="28"/>
        <v>7068105.5965049146</v>
      </c>
      <c r="T156" s="77">
        <f t="shared" si="29"/>
        <v>7233429.8556093108</v>
      </c>
    </row>
    <row r="157" spans="1:20" x14ac:dyDescent="0.3">
      <c r="A157" s="47">
        <v>2306</v>
      </c>
      <c r="B157" s="48" t="s">
        <v>284</v>
      </c>
      <c r="C157" s="165">
        <v>3022</v>
      </c>
      <c r="D157" s="77">
        <v>3097</v>
      </c>
      <c r="E157" s="77">
        <v>3147</v>
      </c>
      <c r="F157" s="73">
        <v>106.94</v>
      </c>
      <c r="G157" s="78">
        <v>97.15</v>
      </c>
      <c r="H157" s="67">
        <v>96.7</v>
      </c>
      <c r="I157" s="77">
        <f t="shared" si="21"/>
        <v>5667954.5016507674</v>
      </c>
      <c r="J157" s="77">
        <f t="shared" si="23"/>
        <v>5553503.2947536195</v>
      </c>
      <c r="K157" s="77">
        <f t="shared" si="22"/>
        <v>5421379.938742768</v>
      </c>
      <c r="L157" s="77">
        <f t="shared" si="24"/>
        <v>5308448.8224650277</v>
      </c>
      <c r="M157" s="77">
        <f t="shared" si="25"/>
        <v>5540930.7406447316</v>
      </c>
      <c r="N157" s="77">
        <f t="shared" si="26"/>
        <v>5429724.170979864</v>
      </c>
      <c r="O157" s="77">
        <v>143359.77215479806</v>
      </c>
      <c r="P157" s="70">
        <v>102718.44804251673</v>
      </c>
      <c r="Q157" s="70">
        <v>105397.66759116497</v>
      </c>
      <c r="R157" s="70">
        <f t="shared" si="27"/>
        <v>5696863.0669084173</v>
      </c>
      <c r="S157" s="77">
        <f t="shared" si="28"/>
        <v>5411167.2705075443</v>
      </c>
      <c r="T157" s="77">
        <f t="shared" si="29"/>
        <v>5535121.8385710288</v>
      </c>
    </row>
    <row r="158" spans="1:20" x14ac:dyDescent="0.3">
      <c r="A158" s="47">
        <v>2307</v>
      </c>
      <c r="B158" s="48" t="s">
        <v>286</v>
      </c>
      <c r="C158" s="165">
        <v>1234</v>
      </c>
      <c r="D158" s="77">
        <v>1228</v>
      </c>
      <c r="E158" s="77">
        <v>1227</v>
      </c>
      <c r="F158" s="73">
        <v>101.79</v>
      </c>
      <c r="G158" s="78">
        <v>95.66</v>
      </c>
      <c r="H158" s="67">
        <v>94.86</v>
      </c>
      <c r="I158" s="77">
        <f t="shared" si="21"/>
        <v>2202987.2806210634</v>
      </c>
      <c r="J158" s="77">
        <f t="shared" si="23"/>
        <v>2158503.0574374241</v>
      </c>
      <c r="K158" s="77">
        <f t="shared" si="22"/>
        <v>2116676.9350994243</v>
      </c>
      <c r="L158" s="77">
        <f t="shared" si="24"/>
        <v>2072585.0817740588</v>
      </c>
      <c r="M158" s="77">
        <f t="shared" si="25"/>
        <v>2119274.3789430787</v>
      </c>
      <c r="N158" s="77">
        <f t="shared" si="26"/>
        <v>2076740.5078495231</v>
      </c>
      <c r="O158" s="77">
        <v>51657.304244456012</v>
      </c>
      <c r="P158" s="70">
        <v>41252.360701858641</v>
      </c>
      <c r="Q158" s="70">
        <v>39854.58441255358</v>
      </c>
      <c r="R158" s="70">
        <f t="shared" si="27"/>
        <v>2210160.36168188</v>
      </c>
      <c r="S158" s="77">
        <f t="shared" si="28"/>
        <v>2113837.4424759173</v>
      </c>
      <c r="T158" s="77">
        <f t="shared" si="29"/>
        <v>2116595.0922620767</v>
      </c>
    </row>
    <row r="159" spans="1:20" x14ac:dyDescent="0.3">
      <c r="A159" s="47">
        <v>2308</v>
      </c>
      <c r="B159" s="48" t="s">
        <v>308</v>
      </c>
      <c r="C159" s="165">
        <v>2382</v>
      </c>
      <c r="D159" s="77">
        <v>2395</v>
      </c>
      <c r="E159" s="77">
        <v>2387</v>
      </c>
      <c r="F159" s="73">
        <v>89.25</v>
      </c>
      <c r="G159" s="78">
        <v>91</v>
      </c>
      <c r="H159" s="67">
        <v>92.04</v>
      </c>
      <c r="I159" s="77">
        <f t="shared" si="21"/>
        <v>3728564.8197325729</v>
      </c>
      <c r="J159" s="77">
        <f t="shared" si="23"/>
        <v>3653275.0933439168</v>
      </c>
      <c r="K159" s="77">
        <f t="shared" si="22"/>
        <v>3927107.0878423587</v>
      </c>
      <c r="L159" s="77">
        <f t="shared" si="24"/>
        <v>3845302.7147522275</v>
      </c>
      <c r="M159" s="77">
        <f t="shared" si="25"/>
        <v>4000262.8935870784</v>
      </c>
      <c r="N159" s="77">
        <f t="shared" si="26"/>
        <v>3919977.5525539736</v>
      </c>
      <c r="O159" s="77">
        <v>59491.542016522777</v>
      </c>
      <c r="P159" s="70">
        <v>65651.376946593795</v>
      </c>
      <c r="Q159" s="70">
        <v>68183.429400530527</v>
      </c>
      <c r="R159" s="70">
        <f t="shared" si="27"/>
        <v>3712766.6353604398</v>
      </c>
      <c r="S159" s="77">
        <f t="shared" si="28"/>
        <v>3910954.0916988212</v>
      </c>
      <c r="T159" s="77">
        <f t="shared" si="29"/>
        <v>3988160.9819545043</v>
      </c>
    </row>
    <row r="160" spans="1:20" x14ac:dyDescent="0.3">
      <c r="A160" s="47">
        <v>2309</v>
      </c>
      <c r="B160" s="48" t="s">
        <v>289</v>
      </c>
      <c r="C160" s="165">
        <v>5319</v>
      </c>
      <c r="D160" s="77">
        <v>5326</v>
      </c>
      <c r="E160" s="77">
        <v>5380</v>
      </c>
      <c r="F160" s="73">
        <v>104.68</v>
      </c>
      <c r="G160" s="78">
        <v>95.75</v>
      </c>
      <c r="H160" s="67">
        <v>95.75</v>
      </c>
      <c r="I160" s="77">
        <f t="shared" si="21"/>
        <v>9765296.1797429044</v>
      </c>
      <c r="J160" s="77">
        <f t="shared" si="23"/>
        <v>9568108.6523634642</v>
      </c>
      <c r="K160" s="77">
        <f t="shared" si="22"/>
        <v>9188947.6817453243</v>
      </c>
      <c r="L160" s="77">
        <f t="shared" si="24"/>
        <v>8997535.5079366937</v>
      </c>
      <c r="M160" s="77">
        <f t="shared" si="25"/>
        <v>9379518.9032217078</v>
      </c>
      <c r="N160" s="77">
        <f t="shared" si="26"/>
        <v>9191271.8069924023</v>
      </c>
      <c r="O160" s="77">
        <v>251875.8278586143</v>
      </c>
      <c r="P160" s="70">
        <v>180929.76237580171</v>
      </c>
      <c r="Q160" s="70">
        <v>178326.45030491296</v>
      </c>
      <c r="R160" s="70">
        <f t="shared" si="27"/>
        <v>9819984.480222078</v>
      </c>
      <c r="S160" s="77">
        <f t="shared" si="28"/>
        <v>9178465.2703124955</v>
      </c>
      <c r="T160" s="77">
        <f t="shared" si="29"/>
        <v>9369598.2572973147</v>
      </c>
    </row>
    <row r="161" spans="1:20" x14ac:dyDescent="0.3">
      <c r="A161" s="47">
        <v>2310</v>
      </c>
      <c r="B161" s="48" t="s">
        <v>291</v>
      </c>
      <c r="C161" s="165">
        <v>408</v>
      </c>
      <c r="D161" s="73">
        <v>401</v>
      </c>
      <c r="E161" s="77">
        <v>417</v>
      </c>
      <c r="F161" s="73">
        <v>125.92</v>
      </c>
      <c r="G161" s="78">
        <v>86.96</v>
      </c>
      <c r="H161" s="67">
        <v>87.59</v>
      </c>
      <c r="I161" s="77">
        <f t="shared" si="21"/>
        <v>901045.23373055179</v>
      </c>
      <c r="J161" s="77">
        <f t="shared" si="23"/>
        <v>882850.71321360883</v>
      </c>
      <c r="K161" s="77">
        <f t="shared" si="22"/>
        <v>628332.80954308365</v>
      </c>
      <c r="L161" s="77">
        <f t="shared" si="24"/>
        <v>615244.19993125019</v>
      </c>
      <c r="M161" s="77">
        <f t="shared" si="25"/>
        <v>665043.55038143392</v>
      </c>
      <c r="N161" s="77">
        <f t="shared" si="26"/>
        <v>651696.11555912858</v>
      </c>
      <c r="O161" s="77">
        <v>43871.706860096339</v>
      </c>
      <c r="P161" s="70">
        <v>9737.3377038889648</v>
      </c>
      <c r="Q161" s="70">
        <v>9578.7516272221255</v>
      </c>
      <c r="R161" s="70">
        <f t="shared" si="27"/>
        <v>926722.42007370514</v>
      </c>
      <c r="S161" s="77">
        <f t="shared" si="28"/>
        <v>624981.53763513919</v>
      </c>
      <c r="T161" s="77">
        <f t="shared" si="29"/>
        <v>661274.86718635075</v>
      </c>
    </row>
    <row r="162" spans="1:20" x14ac:dyDescent="0.3">
      <c r="A162" s="47">
        <v>2321</v>
      </c>
      <c r="B162" s="48" t="s">
        <v>386</v>
      </c>
      <c r="C162" s="165">
        <v>3006</v>
      </c>
      <c r="D162" s="77">
        <v>3100</v>
      </c>
      <c r="E162" s="77">
        <v>3172</v>
      </c>
      <c r="F162" s="73">
        <v>103.38</v>
      </c>
      <c r="G162" s="78">
        <v>109.14</v>
      </c>
      <c r="H162" s="67">
        <v>109.6</v>
      </c>
      <c r="I162" s="77">
        <f t="shared" si="21"/>
        <v>5450259.9909133799</v>
      </c>
      <c r="J162" s="77">
        <f t="shared" si="23"/>
        <v>5340204.6202004366</v>
      </c>
      <c r="K162" s="77">
        <f t="shared" si="22"/>
        <v>6096372.2473929515</v>
      </c>
      <c r="L162" s="77">
        <f t="shared" si="24"/>
        <v>5969380.5716716619</v>
      </c>
      <c r="M162" s="77">
        <f t="shared" si="25"/>
        <v>6329993.1127329925</v>
      </c>
      <c r="N162" s="77">
        <f t="shared" si="26"/>
        <v>6202950.0484864675</v>
      </c>
      <c r="O162" s="77">
        <v>129353.01983633237</v>
      </c>
      <c r="P162" s="70">
        <v>166939.66246529703</v>
      </c>
      <c r="Q162" s="70">
        <v>173006.26754843819</v>
      </c>
      <c r="R162" s="70">
        <f t="shared" si="27"/>
        <v>5469557.6400367692</v>
      </c>
      <c r="S162" s="77">
        <f t="shared" si="28"/>
        <v>6136320.2341369586</v>
      </c>
      <c r="T162" s="77">
        <f t="shared" si="29"/>
        <v>6375956.3160349056</v>
      </c>
    </row>
    <row r="163" spans="1:20" x14ac:dyDescent="0.3">
      <c r="A163" s="47">
        <v>2323</v>
      </c>
      <c r="B163" s="48" t="s">
        <v>294</v>
      </c>
      <c r="C163" s="165">
        <v>1372</v>
      </c>
      <c r="D163" s="77">
        <v>1390</v>
      </c>
      <c r="E163" s="77">
        <v>1429</v>
      </c>
      <c r="F163" s="73">
        <v>98.51</v>
      </c>
      <c r="G163" s="78">
        <v>108.94</v>
      </c>
      <c r="H163" s="67">
        <v>109.92</v>
      </c>
      <c r="I163" s="77">
        <f t="shared" si="21"/>
        <v>2370424.6027165744</v>
      </c>
      <c r="J163" s="77">
        <f t="shared" si="23"/>
        <v>2322559.3708131444</v>
      </c>
      <c r="K163" s="77">
        <f t="shared" si="22"/>
        <v>2728525.4268180956</v>
      </c>
      <c r="L163" s="77">
        <f t="shared" si="24"/>
        <v>2671688.3436908387</v>
      </c>
      <c r="M163" s="77">
        <f t="shared" si="25"/>
        <v>2860015.9371745349</v>
      </c>
      <c r="N163" s="77">
        <f t="shared" si="26"/>
        <v>2802615.3710156763</v>
      </c>
      <c r="O163" s="77">
        <v>48999.305692654794</v>
      </c>
      <c r="P163" s="70">
        <v>77362.280900114391</v>
      </c>
      <c r="Q163" s="70">
        <v>79889.855220651851</v>
      </c>
      <c r="R163" s="70">
        <f t="shared" si="27"/>
        <v>2371558.6765057989</v>
      </c>
      <c r="S163" s="77">
        <f t="shared" si="28"/>
        <v>2749050.6245909529</v>
      </c>
      <c r="T163" s="77">
        <f t="shared" si="29"/>
        <v>2882505.226236328</v>
      </c>
    </row>
    <row r="164" spans="1:20" x14ac:dyDescent="0.3">
      <c r="A164" s="47">
        <v>2325</v>
      </c>
      <c r="B164" s="48" t="s">
        <v>296</v>
      </c>
      <c r="C164" s="165">
        <v>5943</v>
      </c>
      <c r="D164" s="77">
        <v>6090</v>
      </c>
      <c r="E164" s="77">
        <v>6275</v>
      </c>
      <c r="F164" s="73">
        <v>96.44</v>
      </c>
      <c r="G164" s="78">
        <v>101.84</v>
      </c>
      <c r="H164" s="67">
        <v>101.82</v>
      </c>
      <c r="I164" s="77">
        <f t="shared" si="21"/>
        <v>10052050.171763487</v>
      </c>
      <c r="J164" s="77">
        <f t="shared" si="23"/>
        <v>9849072.3120058011</v>
      </c>
      <c r="K164" s="77">
        <f t="shared" si="22"/>
        <v>11175359.873727422</v>
      </c>
      <c r="L164" s="77">
        <f t="shared" si="24"/>
        <v>10942569.351829749</v>
      </c>
      <c r="M164" s="77">
        <f t="shared" si="25"/>
        <v>11633391.067207363</v>
      </c>
      <c r="N164" s="77">
        <f t="shared" si="26"/>
        <v>11399908.720159743</v>
      </c>
      <c r="O164" s="77">
        <v>195406.59620250744</v>
      </c>
      <c r="P164" s="70">
        <v>249161.3972944947</v>
      </c>
      <c r="Q164" s="70">
        <v>254782.00147251546</v>
      </c>
      <c r="R164" s="70">
        <f t="shared" si="27"/>
        <v>10044478.908208309</v>
      </c>
      <c r="S164" s="77">
        <f t="shared" si="28"/>
        <v>11191730.749124244</v>
      </c>
      <c r="T164" s="77">
        <f t="shared" si="29"/>
        <v>11654690.721632259</v>
      </c>
    </row>
    <row r="165" spans="1:20" x14ac:dyDescent="0.3">
      <c r="A165" s="47">
        <v>2328</v>
      </c>
      <c r="B165" s="48" t="s">
        <v>299</v>
      </c>
      <c r="C165" s="165">
        <v>818</v>
      </c>
      <c r="D165" s="73">
        <v>843</v>
      </c>
      <c r="E165" s="77">
        <v>829</v>
      </c>
      <c r="F165" s="73">
        <v>90.31</v>
      </c>
      <c r="G165" s="78">
        <v>110.99</v>
      </c>
      <c r="H165" s="67">
        <v>111.32</v>
      </c>
      <c r="I165" s="77">
        <f t="shared" si="21"/>
        <v>1295629.6006025574</v>
      </c>
      <c r="J165" s="77">
        <f t="shared" si="23"/>
        <v>1269467.3631609117</v>
      </c>
      <c r="K165" s="77">
        <f t="shared" si="22"/>
        <v>1685921.1545019271</v>
      </c>
      <c r="L165" s="77">
        <f t="shared" si="24"/>
        <v>1650802.2438029081</v>
      </c>
      <c r="M165" s="77">
        <f t="shared" si="25"/>
        <v>1680301.5689677561</v>
      </c>
      <c r="N165" s="77">
        <f t="shared" si="26"/>
        <v>1646577.8892767776</v>
      </c>
      <c r="O165" s="77">
        <v>21435.871160714512</v>
      </c>
      <c r="P165" s="70">
        <v>50207.514375930106</v>
      </c>
      <c r="Q165" s="70">
        <v>50104.500646030443</v>
      </c>
      <c r="R165" s="70">
        <f t="shared" si="27"/>
        <v>1290903.2343216261</v>
      </c>
      <c r="S165" s="77">
        <f t="shared" si="28"/>
        <v>1701009.7581788383</v>
      </c>
      <c r="T165" s="77">
        <f t="shared" si="29"/>
        <v>1696682.3899228082</v>
      </c>
    </row>
    <row r="166" spans="1:20" x14ac:dyDescent="0.3">
      <c r="A166" s="47">
        <v>2333</v>
      </c>
      <c r="B166" s="48" t="s">
        <v>302</v>
      </c>
      <c r="C166" s="165">
        <v>936</v>
      </c>
      <c r="D166" s="73">
        <v>973</v>
      </c>
      <c r="E166" s="77">
        <v>993</v>
      </c>
      <c r="F166" s="73">
        <v>97.19</v>
      </c>
      <c r="G166" s="78">
        <v>106.25</v>
      </c>
      <c r="H166" s="67">
        <v>107.83</v>
      </c>
      <c r="I166" s="77">
        <f t="shared" si="21"/>
        <v>1595471.8515886001</v>
      </c>
      <c r="J166" s="77">
        <f t="shared" si="23"/>
        <v>1563254.9947081225</v>
      </c>
      <c r="K166" s="77">
        <f t="shared" si="22"/>
        <v>1862805.9355571491</v>
      </c>
      <c r="L166" s="77">
        <f t="shared" si="24"/>
        <v>1824002.3917937037</v>
      </c>
      <c r="M166" s="77">
        <f t="shared" si="25"/>
        <v>1949612.7591234453</v>
      </c>
      <c r="N166" s="77">
        <f t="shared" si="26"/>
        <v>1910483.9994862606</v>
      </c>
      <c r="O166" s="77">
        <v>31745.945532153917</v>
      </c>
      <c r="P166" s="70">
        <v>46494.577378702343</v>
      </c>
      <c r="Q166" s="70">
        <v>50473.673430013056</v>
      </c>
      <c r="R166" s="70">
        <f t="shared" si="27"/>
        <v>1595000.9402402763</v>
      </c>
      <c r="S166" s="77">
        <f t="shared" si="28"/>
        <v>1870496.969172406</v>
      </c>
      <c r="T166" s="77">
        <f t="shared" si="29"/>
        <v>1960957.6729162736</v>
      </c>
    </row>
    <row r="167" spans="1:20" x14ac:dyDescent="0.3">
      <c r="A167" s="47">
        <v>2335</v>
      </c>
      <c r="B167" s="48" t="s">
        <v>304</v>
      </c>
      <c r="C167" s="165">
        <v>965</v>
      </c>
      <c r="D167" s="73">
        <v>985</v>
      </c>
      <c r="E167" s="77">
        <v>1013</v>
      </c>
      <c r="F167" s="73">
        <v>111.39</v>
      </c>
      <c r="G167" s="78">
        <v>99.09</v>
      </c>
      <c r="H167" s="67">
        <v>99.88</v>
      </c>
      <c r="I167" s="77">
        <f t="shared" si="21"/>
        <v>1885233.866677772</v>
      </c>
      <c r="J167" s="77">
        <f t="shared" si="23"/>
        <v>1847165.9373636243</v>
      </c>
      <c r="K167" s="77">
        <f t="shared" si="22"/>
        <v>1758700.5240509529</v>
      </c>
      <c r="L167" s="77">
        <f t="shared" si="24"/>
        <v>1722065.5684449121</v>
      </c>
      <c r="M167" s="77">
        <f t="shared" si="25"/>
        <v>1842245.4125199867</v>
      </c>
      <c r="N167" s="77">
        <f t="shared" si="26"/>
        <v>1805271.5172672647</v>
      </c>
      <c r="O167" s="77">
        <v>55636.221724412804</v>
      </c>
      <c r="P167" s="70">
        <v>36693.483972705697</v>
      </c>
      <c r="Q167" s="70">
        <v>38306.466385339925</v>
      </c>
      <c r="R167" s="70">
        <f t="shared" si="27"/>
        <v>1902802.1590880372</v>
      </c>
      <c r="S167" s="77">
        <f t="shared" si="28"/>
        <v>1758759.0524176178</v>
      </c>
      <c r="T167" s="77">
        <f t="shared" si="29"/>
        <v>1843577.9836526045</v>
      </c>
    </row>
    <row r="168" spans="1:20" x14ac:dyDescent="0.3">
      <c r="A168" s="47">
        <v>2336</v>
      </c>
      <c r="B168" s="48" t="s">
        <v>306</v>
      </c>
      <c r="C168" s="165">
        <v>1304</v>
      </c>
      <c r="D168" s="77">
        <v>1344</v>
      </c>
      <c r="E168" s="77">
        <v>1347</v>
      </c>
      <c r="F168" s="73">
        <v>87.95</v>
      </c>
      <c r="G168" s="78">
        <v>97.81</v>
      </c>
      <c r="H168" s="67">
        <v>97.19</v>
      </c>
      <c r="I168" s="77">
        <f t="shared" si="21"/>
        <v>2011431.0539489952</v>
      </c>
      <c r="J168" s="77">
        <f t="shared" si="23"/>
        <v>1970814.8648727038</v>
      </c>
      <c r="K168" s="77">
        <f t="shared" si="22"/>
        <v>2368690.7370572458</v>
      </c>
      <c r="L168" s="77">
        <f t="shared" si="24"/>
        <v>2319349.2608878678</v>
      </c>
      <c r="M168" s="77">
        <f t="shared" si="25"/>
        <v>2383684.0064234552</v>
      </c>
      <c r="N168" s="77">
        <f t="shared" si="26"/>
        <v>2335843.4298259364</v>
      </c>
      <c r="O168" s="77">
        <v>27142.255902321926</v>
      </c>
      <c r="P168" s="72">
        <v>44532.66390218876</v>
      </c>
      <c r="Q168" s="70">
        <v>46408.182869274373</v>
      </c>
      <c r="R168" s="70">
        <f t="shared" si="27"/>
        <v>1997957.1207750258</v>
      </c>
      <c r="S168" s="77">
        <f t="shared" si="28"/>
        <v>2363881.9247900564</v>
      </c>
      <c r="T168" s="77">
        <f t="shared" si="29"/>
        <v>2382251.6126952106</v>
      </c>
    </row>
    <row r="169" spans="1:20" x14ac:dyDescent="0.3">
      <c r="A169" s="49">
        <v>2337</v>
      </c>
      <c r="B169" s="50" t="s">
        <v>300</v>
      </c>
      <c r="C169" s="165">
        <v>1041</v>
      </c>
      <c r="D169" s="77">
        <v>1091</v>
      </c>
      <c r="E169" s="77">
        <v>1153</v>
      </c>
      <c r="F169" s="73">
        <v>95.82</v>
      </c>
      <c r="G169" s="78">
        <v>108.01</v>
      </c>
      <c r="H169" s="67">
        <v>108.66</v>
      </c>
      <c r="I169" s="77">
        <f t="shared" si="21"/>
        <v>1749438.225293214</v>
      </c>
      <c r="J169" s="77">
        <f t="shared" si="23"/>
        <v>1714112.3742796786</v>
      </c>
      <c r="K169" s="77">
        <f t="shared" si="22"/>
        <v>2123315.6011132067</v>
      </c>
      <c r="L169" s="77">
        <f t="shared" si="24"/>
        <v>2079085.4597556423</v>
      </c>
      <c r="M169" s="77">
        <f t="shared" si="25"/>
        <v>2281174.5235710125</v>
      </c>
      <c r="N169" s="77">
        <f t="shared" si="26"/>
        <v>2235391.3139538313</v>
      </c>
      <c r="O169" s="77">
        <v>35009.204262066538</v>
      </c>
      <c r="P169" s="77">
        <v>56588.605389620854</v>
      </c>
      <c r="Q169" s="72">
        <v>57884.218761957418</v>
      </c>
      <c r="R169" s="70">
        <f t="shared" si="27"/>
        <v>1749121.5785417452</v>
      </c>
      <c r="S169" s="77">
        <f t="shared" si="28"/>
        <v>2135674.065145263</v>
      </c>
      <c r="T169" s="77">
        <f t="shared" si="29"/>
        <v>2293275.5327157886</v>
      </c>
    </row>
    <row r="170" spans="1:20" x14ac:dyDescent="0.3">
      <c r="A170" s="49">
        <v>2338</v>
      </c>
      <c r="B170" s="49" t="s">
        <v>297</v>
      </c>
      <c r="C170" s="165">
        <v>1117</v>
      </c>
      <c r="D170" s="77">
        <v>1136</v>
      </c>
      <c r="E170" s="77">
        <v>1154</v>
      </c>
      <c r="F170" s="73">
        <v>95.76</v>
      </c>
      <c r="G170" s="78">
        <v>104.43</v>
      </c>
      <c r="H170" s="67">
        <v>105.84</v>
      </c>
      <c r="I170" s="77">
        <f t="shared" si="21"/>
        <v>1875983.5512030679</v>
      </c>
      <c r="J170" s="77">
        <f t="shared" si="23"/>
        <v>1838102.4105743181</v>
      </c>
      <c r="K170" s="77">
        <f t="shared" si="22"/>
        <v>2137614.7792163938</v>
      </c>
      <c r="L170" s="77">
        <f t="shared" si="24"/>
        <v>2093086.7760296839</v>
      </c>
      <c r="M170" s="330">
        <f t="shared" si="25"/>
        <v>2223899.4359680498</v>
      </c>
      <c r="N170" s="330">
        <f t="shared" si="26"/>
        <v>2179265.7382862656</v>
      </c>
      <c r="O170" s="330">
        <v>35996.109908025261</v>
      </c>
      <c r="P170" s="330">
        <v>52240.935965938232</v>
      </c>
      <c r="Q170" s="330">
        <v>55909.182452726665</v>
      </c>
      <c r="R170" s="332">
        <f t="shared" si="27"/>
        <v>1874098.5204823434</v>
      </c>
      <c r="S170" s="330">
        <f t="shared" si="28"/>
        <v>2145327.7119956221</v>
      </c>
      <c r="T170" s="77">
        <f t="shared" si="29"/>
        <v>2235174.9207389923</v>
      </c>
    </row>
    <row r="171" spans="1:20" x14ac:dyDescent="0.3">
      <c r="A171" s="51"/>
      <c r="B171" s="41"/>
      <c r="C171" s="73"/>
      <c r="D171" s="73"/>
      <c r="E171" s="73"/>
      <c r="F171" s="73"/>
      <c r="G171" s="73"/>
      <c r="H171" s="73"/>
      <c r="I171" s="139">
        <f>SUM(I8:I170)</f>
        <v>509553380.63165355</v>
      </c>
      <c r="J171" s="141">
        <f>'B1 tâches de référence'!C13/'B7 Performance corr fusions'!I6</f>
        <v>0.97980731728460169</v>
      </c>
      <c r="K171" s="139">
        <f>SUM(K8:K170)</f>
        <v>536228804.51178551</v>
      </c>
      <c r="L171" s="141">
        <f>'B1 tâches de référence'!E13/'B7 Performance corr fusions'!K171</f>
        <v>0.97916930420782688</v>
      </c>
      <c r="M171" s="329">
        <f>SUM(M8:M170)</f>
        <v>553005548.94983041</v>
      </c>
      <c r="N171" s="331">
        <f>'B1 tâches de référence'!G13/'B7 Performance corr fusions'!M171</f>
        <v>0.97992998381136098</v>
      </c>
      <c r="O171" s="329">
        <f>SUM(O8:O170)</f>
        <v>12241890.944659948</v>
      </c>
      <c r="P171" s="329">
        <f t="shared" ref="P171:Q171" si="30">SUM(P8:P170)</f>
        <v>12568392.58278949</v>
      </c>
      <c r="Q171" s="329">
        <f t="shared" si="30"/>
        <v>12615791.849354342</v>
      </c>
      <c r="R171" s="329">
        <f>SUM(R8:R170)</f>
        <v>511506021.83465964</v>
      </c>
      <c r="S171" s="329">
        <f t="shared" ref="S171" si="31">SUM(S8:S170)</f>
        <v>537627177.99278927</v>
      </c>
      <c r="T171" s="329">
        <f t="shared" ref="T171" si="32">SUM(T8:T170)</f>
        <v>554522510.47935486</v>
      </c>
    </row>
    <row r="172" spans="1:20" x14ac:dyDescent="0.3">
      <c r="A172" s="45"/>
      <c r="B172" s="52"/>
      <c r="C172" s="77"/>
      <c r="D172" s="77"/>
      <c r="E172" s="77"/>
      <c r="F172" s="78"/>
      <c r="G172" s="73"/>
      <c r="H172" s="73"/>
      <c r="I172" s="73"/>
      <c r="J172" s="140" t="s">
        <v>412</v>
      </c>
      <c r="K172" s="73"/>
      <c r="L172" s="140" t="s">
        <v>412</v>
      </c>
      <c r="M172" s="73"/>
      <c r="N172" s="140" t="s">
        <v>412</v>
      </c>
      <c r="O172" s="73"/>
      <c r="P172" s="73"/>
      <c r="Q172" s="77"/>
      <c r="R172" s="73"/>
    </row>
    <row r="173" spans="1:20" x14ac:dyDescent="0.3">
      <c r="A173" s="40"/>
      <c r="B173" s="46"/>
      <c r="C173" s="73"/>
      <c r="D173" s="73"/>
      <c r="E173" s="73"/>
      <c r="F173" s="73"/>
      <c r="G173" s="73"/>
      <c r="H173" s="73"/>
      <c r="I173" s="73"/>
      <c r="J173" s="73"/>
      <c r="K173" s="73"/>
      <c r="L173" s="73"/>
      <c r="M173" s="73"/>
      <c r="N173" s="73"/>
      <c r="O173" s="73"/>
      <c r="P173" s="73"/>
      <c r="Q173" s="77"/>
      <c r="R173" s="73"/>
    </row>
    <row r="174" spans="1:20" x14ac:dyDescent="0.3">
      <c r="A174" s="45"/>
      <c r="B174" s="52"/>
      <c r="C174" s="73"/>
      <c r="D174" s="73"/>
      <c r="E174" s="73"/>
      <c r="F174" s="73"/>
      <c r="G174" s="73"/>
      <c r="H174" s="73"/>
      <c r="I174" s="73"/>
      <c r="J174" s="73"/>
      <c r="K174" s="73"/>
      <c r="L174" s="73"/>
      <c r="M174" s="73"/>
      <c r="N174" s="73"/>
      <c r="O174" s="73"/>
      <c r="P174" s="73"/>
      <c r="Q174" s="77"/>
      <c r="R174" s="73"/>
    </row>
    <row r="175" spans="1:20" x14ac:dyDescent="0.3">
      <c r="A175" s="45"/>
      <c r="B175" s="52"/>
      <c r="C175" s="73"/>
      <c r="D175" s="73"/>
      <c r="E175" s="73"/>
      <c r="F175" s="73"/>
      <c r="G175" s="73"/>
      <c r="H175" s="73"/>
      <c r="I175" s="73"/>
      <c r="J175" s="73"/>
      <c r="K175" s="73"/>
      <c r="L175" s="73"/>
      <c r="M175" s="73"/>
      <c r="N175" s="73"/>
      <c r="O175" s="73"/>
      <c r="P175" s="73"/>
      <c r="Q175" s="77"/>
      <c r="R175" s="73"/>
    </row>
    <row r="176" spans="1:20" x14ac:dyDescent="0.3">
      <c r="A176" s="45"/>
      <c r="B176" s="52"/>
      <c r="C176" s="73"/>
      <c r="D176" s="73"/>
      <c r="E176" s="73"/>
      <c r="F176" s="73"/>
      <c r="G176" s="73"/>
      <c r="H176" s="73"/>
      <c r="I176" s="73"/>
      <c r="J176" s="73"/>
      <c r="K176" s="73"/>
      <c r="L176" s="73"/>
      <c r="M176" s="73"/>
      <c r="N176" s="73"/>
      <c r="O176" s="73"/>
      <c r="P176" s="73"/>
      <c r="Q176" s="77"/>
      <c r="R176" s="73"/>
    </row>
    <row r="177" spans="1:18" x14ac:dyDescent="0.3">
      <c r="A177" s="45"/>
      <c r="B177" s="52"/>
      <c r="C177" s="73"/>
      <c r="D177" s="73"/>
      <c r="E177" s="73"/>
      <c r="F177" s="73"/>
      <c r="G177" s="73"/>
      <c r="H177" s="73"/>
      <c r="I177" s="73"/>
      <c r="J177" s="73"/>
      <c r="K177" s="73"/>
      <c r="L177" s="73"/>
      <c r="M177" s="73"/>
      <c r="N177" s="73"/>
      <c r="O177" s="73"/>
      <c r="P177" s="73"/>
      <c r="Q177" s="77"/>
      <c r="R177" s="73"/>
    </row>
    <row r="178" spans="1:18" x14ac:dyDescent="0.3">
      <c r="A178" s="47"/>
      <c r="B178" s="48"/>
      <c r="C178" s="73"/>
      <c r="D178" s="73"/>
      <c r="E178" s="73"/>
      <c r="F178" s="73"/>
      <c r="G178" s="73"/>
      <c r="H178" s="73"/>
      <c r="I178" s="73"/>
      <c r="J178" s="73"/>
      <c r="K178" s="73"/>
      <c r="L178" s="73"/>
      <c r="M178" s="73"/>
      <c r="N178" s="73"/>
      <c r="O178" s="73"/>
      <c r="P178" s="73"/>
      <c r="Q178" s="77"/>
      <c r="R178" s="73"/>
    </row>
    <row r="179" spans="1:18" x14ac:dyDescent="0.25">
      <c r="A179" s="47"/>
      <c r="B179" s="48"/>
    </row>
    <row r="180" spans="1:18" x14ac:dyDescent="0.25">
      <c r="A180" s="47"/>
      <c r="B180" s="48"/>
    </row>
    <row r="182" spans="1:18" x14ac:dyDescent="0.25">
      <c r="A182" s="47"/>
      <c r="B182" s="48"/>
    </row>
    <row r="183" spans="1:18" x14ac:dyDescent="0.25">
      <c r="A183" s="47"/>
      <c r="B183" s="48"/>
    </row>
    <row r="184" spans="1:18" x14ac:dyDescent="0.25">
      <c r="D184" s="53"/>
    </row>
    <row r="185" spans="1:18" x14ac:dyDescent="0.25">
      <c r="A185" s="47"/>
      <c r="B185" s="48"/>
    </row>
    <row r="186" spans="1:18" x14ac:dyDescent="0.25">
      <c r="C186" s="168"/>
    </row>
  </sheetData>
  <mergeCells count="8">
    <mergeCell ref="I5:J5"/>
    <mergeCell ref="I3:N3"/>
    <mergeCell ref="R3:T3"/>
    <mergeCell ref="C4:E4"/>
    <mergeCell ref="F4:G4"/>
    <mergeCell ref="I4:N4"/>
    <mergeCell ref="O4:Q4"/>
    <mergeCell ref="R4:T4"/>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71"/>
  <sheetViews>
    <sheetView workbookViewId="0">
      <selection activeCell="G8" sqref="G8"/>
    </sheetView>
  </sheetViews>
  <sheetFormatPr baseColWidth="10" defaultRowHeight="13.2" x14ac:dyDescent="0.25"/>
  <cols>
    <col min="1" max="1" width="6.88671875" customWidth="1"/>
    <col min="2" max="2" width="22.6640625" customWidth="1"/>
    <col min="3" max="4" width="8.6640625" customWidth="1"/>
    <col min="5" max="5" width="10.109375" customWidth="1"/>
    <col min="6" max="6" width="8.6640625" customWidth="1"/>
    <col min="7" max="7" width="10.21875" style="153" customWidth="1"/>
    <col min="8" max="8" width="8.6640625" style="153" customWidth="1"/>
    <col min="9" max="10" width="8.6640625" customWidth="1"/>
    <col min="11" max="11" width="10" customWidth="1"/>
    <col min="12" max="15" width="8.6640625" customWidth="1"/>
    <col min="16" max="16" width="8.6640625" style="53" customWidth="1"/>
    <col min="17" max="17" width="9.77734375" customWidth="1"/>
    <col min="18" max="20" width="8.6640625" customWidth="1"/>
  </cols>
  <sheetData>
    <row r="1" spans="1:20" x14ac:dyDescent="0.25">
      <c r="A1" s="92" t="s">
        <v>445</v>
      </c>
    </row>
    <row r="3" spans="1:20" x14ac:dyDescent="0.25">
      <c r="I3" s="153"/>
    </row>
    <row r="4" spans="1:20" x14ac:dyDescent="0.25">
      <c r="G4" s="153">
        <f>'[2]T1  PF2011'!$O$6</f>
        <v>3602.1729159793163</v>
      </c>
    </row>
    <row r="5" spans="1:20" x14ac:dyDescent="0.25">
      <c r="M5">
        <v>3621.44</v>
      </c>
    </row>
    <row r="6" spans="1:20" x14ac:dyDescent="0.25">
      <c r="A6" s="61"/>
      <c r="B6" s="61"/>
      <c r="C6" s="466">
        <v>2011</v>
      </c>
      <c r="D6" s="467"/>
      <c r="E6" s="467"/>
      <c r="F6" s="468"/>
      <c r="G6" s="468"/>
      <c r="H6" s="468"/>
      <c r="I6" s="469">
        <v>2012</v>
      </c>
      <c r="J6" s="470"/>
      <c r="K6" s="470"/>
      <c r="L6" s="468"/>
      <c r="M6" s="468"/>
      <c r="N6" s="471"/>
      <c r="O6" s="472">
        <v>2013</v>
      </c>
      <c r="P6" s="473"/>
      <c r="Q6" s="473"/>
      <c r="R6" s="474"/>
      <c r="S6" s="474"/>
      <c r="T6" s="474"/>
    </row>
    <row r="7" spans="1:20" ht="55.2" customHeight="1" x14ac:dyDescent="0.25">
      <c r="A7" s="61"/>
      <c r="B7" s="61"/>
      <c r="C7" s="130" t="s">
        <v>403</v>
      </c>
      <c r="D7" s="130" t="s">
        <v>404</v>
      </c>
      <c r="E7" s="145" t="s">
        <v>447</v>
      </c>
      <c r="F7" s="145" t="s">
        <v>414</v>
      </c>
      <c r="G7" s="154" t="s">
        <v>422</v>
      </c>
      <c r="H7" s="156" t="s">
        <v>448</v>
      </c>
      <c r="I7" s="158" t="s">
        <v>403</v>
      </c>
      <c r="J7" s="131" t="s">
        <v>404</v>
      </c>
      <c r="K7" s="145" t="s">
        <v>447</v>
      </c>
      <c r="L7" s="155" t="s">
        <v>414</v>
      </c>
      <c r="M7" s="155" t="s">
        <v>424</v>
      </c>
      <c r="N7" s="173" t="s">
        <v>439</v>
      </c>
      <c r="O7" s="172" t="s">
        <v>403</v>
      </c>
      <c r="P7" s="320" t="s">
        <v>404</v>
      </c>
      <c r="Q7" s="384" t="s">
        <v>447</v>
      </c>
      <c r="R7" s="164" t="s">
        <v>414</v>
      </c>
      <c r="S7" s="164" t="s">
        <v>501</v>
      </c>
      <c r="T7" s="164" t="s">
        <v>416</v>
      </c>
    </row>
    <row r="8" spans="1:20" ht="13.8" x14ac:dyDescent="0.25">
      <c r="A8" s="93">
        <v>2004</v>
      </c>
      <c r="B8" s="94" t="s">
        <v>1</v>
      </c>
      <c r="C8" s="103">
        <f>'B7 Performance corr fusions'!J8/'B7 Performance corr fusions'!C8</f>
        <v>1419.7686580825587</v>
      </c>
      <c r="D8" s="103">
        <f>'B7 Performance corr fusions'!R8/'B7 Performance corr fusions'!C8</f>
        <v>1437.0816704214863</v>
      </c>
      <c r="E8" s="142">
        <f>D8-C8</f>
        <v>17.313012338927592</v>
      </c>
      <c r="F8" s="146">
        <f t="shared" ref="F8:F39" si="0">E8/C8</f>
        <v>1.2194248859042535E-2</v>
      </c>
      <c r="G8" s="174">
        <f>'[2]T1  PF2011'!P8</f>
        <v>71.678813381924371</v>
      </c>
      <c r="H8" s="160">
        <f t="shared" ref="H8:H39" si="1">E8/($G$4*G8/100)*100</f>
        <v>0.67052855120330745</v>
      </c>
      <c r="I8" s="161">
        <f>'B7 Performance corr fusions'!L8/'B7 Performance corr fusions'!D8</f>
        <v>1685.4792187950191</v>
      </c>
      <c r="J8" s="95">
        <f>'B7 Performance corr fusions'!S8/'B7 Performance corr fusions'!D8</f>
        <v>1717.1520556704111</v>
      </c>
      <c r="K8" s="148">
        <f>J8-I8</f>
        <v>31.672836875392022</v>
      </c>
      <c r="L8" s="151">
        <f>K8/I8</f>
        <v>1.8791591449009697E-2</v>
      </c>
      <c r="M8" s="346">
        <f>'[3]T2 PF2012'!$P8</f>
        <v>73.242392265863813</v>
      </c>
      <c r="N8" s="349">
        <f>K8/($M$5*M8/100)*100</f>
        <v>1.1941067378932884</v>
      </c>
      <c r="O8" s="333">
        <f>'B7 Performance corr fusions'!N8/'B7 Performance corr fusions'!E8</f>
        <v>1742.1370693793631</v>
      </c>
      <c r="P8" s="321">
        <f>'B7 Performance corr fusions'!T8/'B7 Performance corr fusions'!E8</f>
        <v>1775.5325190391534</v>
      </c>
      <c r="Q8" s="148">
        <f>P8-O8</f>
        <v>33.395449659790302</v>
      </c>
      <c r="R8" s="336">
        <f>Q8/O8</f>
        <v>1.9169243480759778E-2</v>
      </c>
      <c r="S8" s="162"/>
      <c r="T8" s="162"/>
    </row>
    <row r="9" spans="1:20" ht="13.8" x14ac:dyDescent="0.25">
      <c r="A9" s="96">
        <v>2005</v>
      </c>
      <c r="B9" s="97" t="s">
        <v>3</v>
      </c>
      <c r="C9" s="104">
        <f>'B7 Performance corr fusions'!J9/'B7 Performance corr fusions'!C9</f>
        <v>1680.7985045637258</v>
      </c>
      <c r="D9" s="104">
        <f>'B7 Performance corr fusions'!R9/'B7 Performance corr fusions'!C9</f>
        <v>1715.5580369044008</v>
      </c>
      <c r="E9" s="143">
        <f t="shared" ref="E9:E72" si="2">D9-C9</f>
        <v>34.759532340674923</v>
      </c>
      <c r="F9" s="147">
        <f t="shared" si="0"/>
        <v>2.0680368435773467E-2</v>
      </c>
      <c r="G9" s="175">
        <f>'[2]T1  PF2011'!P9</f>
        <v>91.60272222697094</v>
      </c>
      <c r="H9" s="157">
        <f t="shared" si="1"/>
        <v>1.0534186140175035</v>
      </c>
      <c r="I9" s="159">
        <f>'B7 Performance corr fusions'!L9/'B7 Performance corr fusions'!D9</f>
        <v>1768.7563245493627</v>
      </c>
      <c r="J9" s="98">
        <f>'B7 Performance corr fusions'!S9/'B7 Performance corr fusions'!D9</f>
        <v>1806.9044073749931</v>
      </c>
      <c r="K9" s="149">
        <f t="shared" ref="K9:K72" si="3">J9-I9</f>
        <v>38.148082825630354</v>
      </c>
      <c r="L9" s="152">
        <f t="shared" ref="L9:L72" si="4">K9/I9</f>
        <v>2.1567743558655306E-2</v>
      </c>
      <c r="M9" s="347">
        <f>'[3]T2 PF2012'!$P9</f>
        <v>93.941802667705431</v>
      </c>
      <c r="N9" s="350">
        <f t="shared" ref="N9:N72" si="5">K9/($M$5*M9/100)*100</f>
        <v>1.1213276545307034</v>
      </c>
      <c r="O9" s="333">
        <f>'B7 Performance corr fusions'!N9/'B7 Performance corr fusions'!E9</f>
        <v>1776.0377292710136</v>
      </c>
      <c r="P9" s="321">
        <f>'B7 Performance corr fusions'!T9/'B7 Performance corr fusions'!E9</f>
        <v>1813.9414243679366</v>
      </c>
      <c r="Q9" s="149">
        <f t="shared" ref="Q9:Q72" si="6">P9-O9</f>
        <v>37.903695096923002</v>
      </c>
      <c r="R9" s="336">
        <f t="shared" ref="R9:R72" si="7">Q9/O9</f>
        <v>2.134171728011703E-2</v>
      </c>
      <c r="S9" s="162"/>
      <c r="T9" s="162"/>
    </row>
    <row r="10" spans="1:20" ht="13.8" x14ac:dyDescent="0.25">
      <c r="A10" s="96">
        <v>2008</v>
      </c>
      <c r="B10" s="97" t="s">
        <v>4</v>
      </c>
      <c r="C10" s="104">
        <f>'B7 Performance corr fusions'!J10/'B7 Performance corr fusions'!C10</f>
        <v>1418.7375987811188</v>
      </c>
      <c r="D10" s="104">
        <f>'B7 Performance corr fusions'!R10/'B7 Performance corr fusions'!C10</f>
        <v>1435.4789253231847</v>
      </c>
      <c r="E10" s="143">
        <f t="shared" si="2"/>
        <v>16.741326542065963</v>
      </c>
      <c r="F10" s="147">
        <f t="shared" si="0"/>
        <v>1.1800157094905325E-2</v>
      </c>
      <c r="G10" s="175">
        <f>'[2]T1  PF2011'!P10</f>
        <v>98.343678337366626</v>
      </c>
      <c r="H10" s="157">
        <f t="shared" si="1"/>
        <v>0.47258383559778588</v>
      </c>
      <c r="I10" s="159">
        <f>'B7 Performance corr fusions'!L10/'B7 Performance corr fusions'!D10</f>
        <v>1620.1984367418252</v>
      </c>
      <c r="J10" s="98">
        <f>'B7 Performance corr fusions'!S10/'B7 Performance corr fusions'!D10</f>
        <v>1645.0544441929273</v>
      </c>
      <c r="K10" s="149">
        <f t="shared" si="3"/>
        <v>24.856007451102187</v>
      </c>
      <c r="L10" s="152">
        <f t="shared" si="4"/>
        <v>1.5341335287970614E-2</v>
      </c>
      <c r="M10" s="347">
        <f>'[3]T2 PF2012'!$P10</f>
        <v>96.86899520664825</v>
      </c>
      <c r="N10" s="350">
        <f t="shared" si="5"/>
        <v>0.70854148185077348</v>
      </c>
      <c r="O10" s="333">
        <f>'B7 Performance corr fusions'!N10/'B7 Performance corr fusions'!E10</f>
        <v>1639.8998161271736</v>
      </c>
      <c r="P10" s="321">
        <f>'B7 Performance corr fusions'!T10/'B7 Performance corr fusions'!E10</f>
        <v>1666.3397737765047</v>
      </c>
      <c r="Q10" s="149">
        <f t="shared" si="6"/>
        <v>26.439957649331063</v>
      </c>
      <c r="R10" s="336">
        <f t="shared" si="7"/>
        <v>1.6122910307882279E-2</v>
      </c>
      <c r="S10" s="162"/>
      <c r="T10" s="162"/>
    </row>
    <row r="11" spans="1:20" ht="13.8" x14ac:dyDescent="0.25">
      <c r="A11" s="96">
        <v>2009</v>
      </c>
      <c r="B11" s="97" t="s">
        <v>6</v>
      </c>
      <c r="C11" s="104">
        <f>'B7 Performance corr fusions'!J11/'B7 Performance corr fusions'!C11</f>
        <v>1800.0576970969259</v>
      </c>
      <c r="D11" s="104">
        <f>'B7 Performance corr fusions'!R11/'B7 Performance corr fusions'!C11</f>
        <v>1848.9430516902567</v>
      </c>
      <c r="E11" s="143">
        <f t="shared" si="2"/>
        <v>48.885354593330703</v>
      </c>
      <c r="F11" s="147">
        <f t="shared" si="0"/>
        <v>2.7157659819555452E-2</v>
      </c>
      <c r="G11" s="175">
        <f>'[2]T1  PF2011'!P11</f>
        <v>56.004912350668221</v>
      </c>
      <c r="H11" s="157">
        <f t="shared" si="1"/>
        <v>2.4231934773190775</v>
      </c>
      <c r="I11" s="159">
        <f>'B7 Performance corr fusions'!L11/'B7 Performance corr fusions'!D11</f>
        <v>1616.1404421817617</v>
      </c>
      <c r="J11" s="98">
        <f>'B7 Performance corr fusions'!S11/'B7 Performance corr fusions'!D11</f>
        <v>1643.3671085253786</v>
      </c>
      <c r="K11" s="149">
        <f t="shared" si="3"/>
        <v>27.226666343616898</v>
      </c>
      <c r="L11" s="152">
        <f t="shared" si="4"/>
        <v>1.6846720515737709E-2</v>
      </c>
      <c r="M11" s="347">
        <f>'[3]T2 PF2012'!$P11</f>
        <v>56.344520230307658</v>
      </c>
      <c r="N11" s="350">
        <f t="shared" si="5"/>
        <v>1.3343245903691752</v>
      </c>
      <c r="O11" s="333">
        <f>'B7 Performance corr fusions'!N11/'B7 Performance corr fusions'!E11</f>
        <v>1646.1446745282672</v>
      </c>
      <c r="P11" s="321">
        <f>'B7 Performance corr fusions'!T11/'B7 Performance corr fusions'!E11</f>
        <v>1673.9532505954937</v>
      </c>
      <c r="Q11" s="149">
        <f t="shared" si="6"/>
        <v>27.808576067226568</v>
      </c>
      <c r="R11" s="336">
        <f t="shared" si="7"/>
        <v>1.6893154348778989E-2</v>
      </c>
      <c r="S11" s="162"/>
      <c r="T11" s="162"/>
    </row>
    <row r="12" spans="1:20" ht="13.8" x14ac:dyDescent="0.25">
      <c r="A12" s="96">
        <v>2010</v>
      </c>
      <c r="B12" s="97" t="s">
        <v>8</v>
      </c>
      <c r="C12" s="104">
        <f>'B7 Performance corr fusions'!J12/'B7 Performance corr fusions'!C12</f>
        <v>1356.3585110440131</v>
      </c>
      <c r="D12" s="104">
        <f>'B7 Performance corr fusions'!R12/'B7 Performance corr fusions'!C12</f>
        <v>1370.5322364543565</v>
      </c>
      <c r="E12" s="143">
        <f t="shared" si="2"/>
        <v>14.173725410343422</v>
      </c>
      <c r="F12" s="147">
        <f t="shared" si="0"/>
        <v>1.0449837041560387E-2</v>
      </c>
      <c r="G12" s="175">
        <f>'[2]T1  PF2011'!P12</f>
        <v>110.18845559647889</v>
      </c>
      <c r="H12" s="157">
        <f t="shared" si="1"/>
        <v>0.35709466535090606</v>
      </c>
      <c r="I12" s="159">
        <f>'B7 Performance corr fusions'!L12/'B7 Performance corr fusions'!D12</f>
        <v>1716.8845679989879</v>
      </c>
      <c r="J12" s="98">
        <f>'B7 Performance corr fusions'!S12/'B7 Performance corr fusions'!D12</f>
        <v>1750.5525908846409</v>
      </c>
      <c r="K12" s="149">
        <f t="shared" si="3"/>
        <v>33.668022885653045</v>
      </c>
      <c r="L12" s="152">
        <f t="shared" si="4"/>
        <v>1.960995136958613E-2</v>
      </c>
      <c r="M12" s="347">
        <f>'[3]T2 PF2012'!$P12</f>
        <v>112.61778272082094</v>
      </c>
      <c r="N12" s="350">
        <f t="shared" si="5"/>
        <v>0.82552332188450572</v>
      </c>
      <c r="O12" s="333">
        <f>'B7 Performance corr fusions'!N12/'B7 Performance corr fusions'!E12</f>
        <v>1714.4812678888059</v>
      </c>
      <c r="P12" s="321">
        <f>'B7 Performance corr fusions'!T12/'B7 Performance corr fusions'!E12</f>
        <v>1745.9956639777313</v>
      </c>
      <c r="Q12" s="149">
        <f t="shared" si="6"/>
        <v>31.514396088925423</v>
      </c>
      <c r="R12" s="336">
        <f t="shared" si="7"/>
        <v>1.8381300909593442E-2</v>
      </c>
      <c r="S12" s="162"/>
      <c r="T12" s="162"/>
    </row>
    <row r="13" spans="1:20" ht="13.8" x14ac:dyDescent="0.25">
      <c r="A13" s="96">
        <v>2011</v>
      </c>
      <c r="B13" s="97" t="s">
        <v>10</v>
      </c>
      <c r="C13" s="104">
        <f>'B7 Performance corr fusions'!J13/'B7 Performance corr fusions'!C13</f>
        <v>1610.5146288489152</v>
      </c>
      <c r="D13" s="104">
        <f>'B7 Performance corr fusions'!R13/'B7 Performance corr fusions'!C13</f>
        <v>1640.3831827380413</v>
      </c>
      <c r="E13" s="143">
        <f t="shared" si="2"/>
        <v>29.868553889126133</v>
      </c>
      <c r="F13" s="147">
        <f t="shared" si="0"/>
        <v>1.8545968694785538E-2</v>
      </c>
      <c r="G13" s="175">
        <f>'[2]T1  PF2011'!P13</f>
        <v>82.368846671660378</v>
      </c>
      <c r="H13" s="157">
        <f t="shared" si="1"/>
        <v>1.0066689071481176</v>
      </c>
      <c r="I13" s="159">
        <f>'B7 Performance corr fusions'!L13/'B7 Performance corr fusions'!D13</f>
        <v>1789.2227318957691</v>
      </c>
      <c r="J13" s="98">
        <f>'B7 Performance corr fusions'!S13/'B7 Performance corr fusions'!D13</f>
        <v>1829.7401161003459</v>
      </c>
      <c r="K13" s="149">
        <f t="shared" si="3"/>
        <v>40.517384204576729</v>
      </c>
      <c r="L13" s="152">
        <f t="shared" si="4"/>
        <v>2.2645243368692603E-2</v>
      </c>
      <c r="M13" s="347">
        <f>'[3]T2 PF2012'!$P13</f>
        <v>80.096668988319834</v>
      </c>
      <c r="N13" s="350">
        <f t="shared" si="5"/>
        <v>1.3968367421680346</v>
      </c>
      <c r="O13" s="333">
        <f>'B7 Performance corr fusions'!N13/'B7 Performance corr fusions'!E13</f>
        <v>1816.7185211409947</v>
      </c>
      <c r="P13" s="321">
        <f>'B7 Performance corr fusions'!T13/'B7 Performance corr fusions'!E13</f>
        <v>1857.7156327884347</v>
      </c>
      <c r="Q13" s="149">
        <f t="shared" si="6"/>
        <v>40.997111647440079</v>
      </c>
      <c r="R13" s="336">
        <f t="shared" si="7"/>
        <v>2.2566573286043091E-2</v>
      </c>
      <c r="S13" s="162"/>
      <c r="T13" s="162"/>
    </row>
    <row r="14" spans="1:20" ht="13.8" x14ac:dyDescent="0.25">
      <c r="A14" s="96">
        <v>2013</v>
      </c>
      <c r="B14" s="97" t="s">
        <v>12</v>
      </c>
      <c r="C14" s="104">
        <f>'B7 Performance corr fusions'!J14/'B7 Performance corr fusions'!C14</f>
        <v>1818.2730780890283</v>
      </c>
      <c r="D14" s="104">
        <f>'B7 Performance corr fusions'!R14/'B7 Performance corr fusions'!C14</f>
        <v>1863.1879952787522</v>
      </c>
      <c r="E14" s="143">
        <f t="shared" si="2"/>
        <v>44.914917189723838</v>
      </c>
      <c r="F14" s="147">
        <f t="shared" si="0"/>
        <v>2.4701964589900101E-2</v>
      </c>
      <c r="G14" s="175">
        <f>'[2]T1  PF2011'!P14</f>
        <v>99.502731898715567</v>
      </c>
      <c r="H14" s="157">
        <f t="shared" si="1"/>
        <v>1.2531153274729752</v>
      </c>
      <c r="I14" s="159">
        <f>'B7 Performance corr fusions'!L14/'B7 Performance corr fusions'!D14</f>
        <v>1970.4210107299036</v>
      </c>
      <c r="J14" s="98">
        <f>'B7 Performance corr fusions'!S14/'B7 Performance corr fusions'!D14</f>
        <v>2029.3693700074671</v>
      </c>
      <c r="K14" s="149">
        <f t="shared" si="3"/>
        <v>58.948359277563441</v>
      </c>
      <c r="L14" s="152">
        <f t="shared" si="4"/>
        <v>2.9916631499847426E-2</v>
      </c>
      <c r="M14" s="347">
        <f>'[3]T2 PF2012'!$P14</f>
        <v>102.97290940438964</v>
      </c>
      <c r="N14" s="350">
        <f t="shared" si="5"/>
        <v>1.580765482340879</v>
      </c>
      <c r="O14" s="333">
        <f>'B7 Performance corr fusions'!N14/'B7 Performance corr fusions'!E14</f>
        <v>1982.2964810328476</v>
      </c>
      <c r="P14" s="321">
        <f>'B7 Performance corr fusions'!T14/'B7 Performance corr fusions'!E14</f>
        <v>2040.7686603263519</v>
      </c>
      <c r="Q14" s="149">
        <f t="shared" si="6"/>
        <v>58.472179293504269</v>
      </c>
      <c r="R14" s="336">
        <f t="shared" si="7"/>
        <v>2.9497191693060042E-2</v>
      </c>
      <c r="S14" s="162"/>
      <c r="T14" s="162"/>
    </row>
    <row r="15" spans="1:20" ht="13.8" x14ac:dyDescent="0.25">
      <c r="A15" s="96">
        <v>2014</v>
      </c>
      <c r="B15" s="97" t="s">
        <v>14</v>
      </c>
      <c r="C15" s="104">
        <f>'B7 Performance corr fusions'!J15/'B7 Performance corr fusions'!C15</f>
        <v>1657.5996702813313</v>
      </c>
      <c r="D15" s="104">
        <f>'B7 Performance corr fusions'!R15/'B7 Performance corr fusions'!C15</f>
        <v>1689.3862379540246</v>
      </c>
      <c r="E15" s="143">
        <f t="shared" si="2"/>
        <v>31.786567672693309</v>
      </c>
      <c r="F15" s="147">
        <f t="shared" si="0"/>
        <v>1.9176263269465074E-2</v>
      </c>
      <c r="G15" s="175">
        <f>'[2]T1  PF2011'!P15</f>
        <v>62.286239635249309</v>
      </c>
      <c r="H15" s="157">
        <f t="shared" si="1"/>
        <v>1.4167295951633851</v>
      </c>
      <c r="I15" s="159">
        <f>'B7 Performance corr fusions'!L15/'B7 Performance corr fusions'!D15</f>
        <v>1774.0493609320538</v>
      </c>
      <c r="J15" s="98">
        <f>'B7 Performance corr fusions'!S15/'B7 Performance corr fusions'!D15</f>
        <v>1808.9940081122068</v>
      </c>
      <c r="K15" s="149">
        <f t="shared" si="3"/>
        <v>34.94464718015297</v>
      </c>
      <c r="L15" s="152">
        <f t="shared" si="4"/>
        <v>1.9697674681269116E-2</v>
      </c>
      <c r="M15" s="347">
        <f>'[3]T2 PF2012'!$P15</f>
        <v>65.542932110584275</v>
      </c>
      <c r="N15" s="350">
        <f t="shared" si="5"/>
        <v>1.4722226661731534</v>
      </c>
      <c r="O15" s="333">
        <f>'B7 Performance corr fusions'!N15/'B7 Performance corr fusions'!E15</f>
        <v>1767.4733520352283</v>
      </c>
      <c r="P15" s="321">
        <f>'B7 Performance corr fusions'!T15/'B7 Performance corr fusions'!E15</f>
        <v>1800.5527717369055</v>
      </c>
      <c r="Q15" s="149">
        <f t="shared" si="6"/>
        <v>33.079419701677125</v>
      </c>
      <c r="R15" s="336">
        <f t="shared" si="7"/>
        <v>1.8715653994775365E-2</v>
      </c>
      <c r="S15" s="162"/>
      <c r="T15" s="162"/>
    </row>
    <row r="16" spans="1:20" s="107" customFormat="1" ht="13.8" x14ac:dyDescent="0.25">
      <c r="A16" s="108">
        <v>2015</v>
      </c>
      <c r="B16" s="109" t="s">
        <v>16</v>
      </c>
      <c r="C16" s="227">
        <f>'B7 Performance corr fusions'!J16/'B7 Performance corr fusions'!C16</f>
        <v>1933.9235630671894</v>
      </c>
      <c r="D16" s="227">
        <f>'B7 Performance corr fusions'!R16/'B7 Performance corr fusions'!C16</f>
        <v>1995.2133230395602</v>
      </c>
      <c r="E16" s="228">
        <f t="shared" si="2"/>
        <v>61.289759972370803</v>
      </c>
      <c r="F16" s="225">
        <f t="shared" si="0"/>
        <v>3.1691924718661404E-2</v>
      </c>
      <c r="G16" s="229">
        <f>'[2]T1  PF2011'!P16</f>
        <v>99.764436900689745</v>
      </c>
      <c r="H16" s="230">
        <f t="shared" si="1"/>
        <v>1.7054838388725913</v>
      </c>
      <c r="I16" s="231">
        <f>'B7 Performance corr fusions'!L16/'B7 Performance corr fusions'!D16</f>
        <v>1902.8465795775435</v>
      </c>
      <c r="J16" s="227">
        <f>'B7 Performance corr fusions'!S16/'B7 Performance corr fusions'!D16</f>
        <v>1953.4080571803729</v>
      </c>
      <c r="K16" s="229">
        <f t="shared" si="3"/>
        <v>50.561477602829427</v>
      </c>
      <c r="L16" s="225">
        <f t="shared" si="4"/>
        <v>2.65714945941962E-2</v>
      </c>
      <c r="M16" s="347">
        <f>'[3]T2 PF2012'!$P16</f>
        <v>98.859793807831252</v>
      </c>
      <c r="N16" s="350">
        <f t="shared" si="5"/>
        <v>1.412273346024927</v>
      </c>
      <c r="O16" s="334">
        <f>'B7 Performance corr fusions'!N16/'B7 Performance corr fusions'!E16</f>
        <v>1905.217085910778</v>
      </c>
      <c r="P16" s="227">
        <f>'B7 Performance corr fusions'!T16/'B7 Performance corr fusions'!E16</f>
        <v>1954.4937642452833</v>
      </c>
      <c r="Q16" s="229">
        <f t="shared" si="6"/>
        <v>49.276678334505277</v>
      </c>
      <c r="R16" s="336">
        <f t="shared" si="7"/>
        <v>2.5864075384852456E-2</v>
      </c>
      <c r="S16" s="226"/>
      <c r="T16" s="226"/>
    </row>
    <row r="17" spans="1:20" ht="13.8" x14ac:dyDescent="0.25">
      <c r="A17" s="96">
        <v>2016</v>
      </c>
      <c r="B17" s="97" t="s">
        <v>18</v>
      </c>
      <c r="C17" s="104">
        <f>'B7 Performance corr fusions'!J17/'B7 Performance corr fusions'!C17</f>
        <v>1611.7175313672617</v>
      </c>
      <c r="D17" s="104">
        <f>'B7 Performance corr fusions'!R17/'B7 Performance corr fusions'!C17</f>
        <v>1640.9680297787977</v>
      </c>
      <c r="E17" s="143">
        <f t="shared" si="2"/>
        <v>29.250498411536</v>
      </c>
      <c r="F17" s="147">
        <f t="shared" si="0"/>
        <v>1.8148650642722763E-2</v>
      </c>
      <c r="G17" s="175">
        <f>'[2]T1  PF2011'!P17</f>
        <v>62.9087332341999</v>
      </c>
      <c r="H17" s="157">
        <f t="shared" si="1"/>
        <v>1.2907964847353637</v>
      </c>
      <c r="I17" s="159">
        <f>'B7 Performance corr fusions'!L17/'B7 Performance corr fusions'!D17</f>
        <v>1896.1420668261349</v>
      </c>
      <c r="J17" s="98">
        <f>'B7 Performance corr fusions'!S17/'B7 Performance corr fusions'!D17</f>
        <v>1947.4543060257911</v>
      </c>
      <c r="K17" s="149">
        <f t="shared" si="3"/>
        <v>51.312239199656233</v>
      </c>
      <c r="L17" s="152">
        <f t="shared" si="4"/>
        <v>2.7061389595952289E-2</v>
      </c>
      <c r="M17" s="347">
        <f>'[3]T2 PF2012'!$P17</f>
        <v>68.040497728037181</v>
      </c>
      <c r="N17" s="350">
        <f t="shared" si="5"/>
        <v>2.0824385318021021</v>
      </c>
      <c r="O17" s="333">
        <f>'B7 Performance corr fusions'!N17/'B7 Performance corr fusions'!E17</f>
        <v>1916.6362555584924</v>
      </c>
      <c r="P17" s="321">
        <f>'B7 Performance corr fusions'!T17/'B7 Performance corr fusions'!E17</f>
        <v>1967.7303247996351</v>
      </c>
      <c r="Q17" s="149">
        <f t="shared" si="6"/>
        <v>51.094069241142734</v>
      </c>
      <c r="R17" s="336">
        <f t="shared" si="7"/>
        <v>2.6658198232952832E-2</v>
      </c>
      <c r="S17" s="162"/>
      <c r="T17" s="162"/>
    </row>
    <row r="18" spans="1:20" ht="13.8" x14ac:dyDescent="0.25">
      <c r="A18" s="96">
        <v>2022</v>
      </c>
      <c r="B18" s="97" t="s">
        <v>22</v>
      </c>
      <c r="C18" s="104">
        <f>'B7 Performance corr fusions'!J18/'B7 Performance corr fusions'!C18</f>
        <v>1474.5866442757729</v>
      </c>
      <c r="D18" s="104">
        <f>'B7 Performance corr fusions'!R18/'B7 Performance corr fusions'!C18</f>
        <v>1493.7188094945848</v>
      </c>
      <c r="E18" s="143">
        <f t="shared" si="2"/>
        <v>19.132165218811906</v>
      </c>
      <c r="F18" s="147">
        <f t="shared" si="0"/>
        <v>1.2974595486186883E-2</v>
      </c>
      <c r="G18" s="175">
        <f>'[2]T1  PF2011'!P18</f>
        <v>86.579707893790726</v>
      </c>
      <c r="H18" s="157">
        <f t="shared" si="1"/>
        <v>0.61345604430647926</v>
      </c>
      <c r="I18" s="159">
        <f>'B7 Performance corr fusions'!L18/'B7 Performance corr fusions'!D18</f>
        <v>1656.1910841441265</v>
      </c>
      <c r="J18" s="98">
        <f>'B7 Performance corr fusions'!S18/'B7 Performance corr fusions'!D18</f>
        <v>1683.389644041868</v>
      </c>
      <c r="K18" s="149">
        <f t="shared" si="3"/>
        <v>27.198559897741461</v>
      </c>
      <c r="L18" s="152">
        <f t="shared" si="4"/>
        <v>1.6422356187116488E-2</v>
      </c>
      <c r="M18" s="347">
        <f>'[3]T2 PF2012'!$P18</f>
        <v>82.460923565194278</v>
      </c>
      <c r="N18" s="350">
        <f t="shared" si="5"/>
        <v>0.91078615647298</v>
      </c>
      <c r="O18" s="333">
        <f>'B7 Performance corr fusions'!N18/'B7 Performance corr fusions'!E18</f>
        <v>1687.3607399754851</v>
      </c>
      <c r="P18" s="321">
        <f>'B7 Performance corr fusions'!T18/'B7 Performance corr fusions'!E18</f>
        <v>1715.8201167547513</v>
      </c>
      <c r="Q18" s="149">
        <f t="shared" si="6"/>
        <v>28.459376779266222</v>
      </c>
      <c r="R18" s="336">
        <f t="shared" si="7"/>
        <v>1.6866207743863767E-2</v>
      </c>
      <c r="S18" s="162"/>
      <c r="T18" s="162"/>
    </row>
    <row r="19" spans="1:20" ht="13.8" x14ac:dyDescent="0.25">
      <c r="A19" s="96">
        <v>2024</v>
      </c>
      <c r="B19" s="97" t="s">
        <v>24</v>
      </c>
      <c r="C19" s="104">
        <f>'B7 Performance corr fusions'!J19/'B7 Performance corr fusions'!C19</f>
        <v>1532.4978083733063</v>
      </c>
      <c r="D19" s="104">
        <f>'B7 Performance corr fusions'!R19/'B7 Performance corr fusions'!C19</f>
        <v>1557.7136393904375</v>
      </c>
      <c r="E19" s="143">
        <f t="shared" si="2"/>
        <v>25.215831017131222</v>
      </c>
      <c r="F19" s="147">
        <f t="shared" si="0"/>
        <v>1.6454073134301549E-2</v>
      </c>
      <c r="G19" s="175">
        <f>'[2]T1  PF2011'!P19</f>
        <v>89.535348198058614</v>
      </c>
      <c r="H19" s="157">
        <f t="shared" si="1"/>
        <v>0.78183336830048611</v>
      </c>
      <c r="I19" s="159">
        <f>'B7 Performance corr fusions'!L19/'B7 Performance corr fusions'!D19</f>
        <v>1629.9023367767593</v>
      </c>
      <c r="J19" s="98">
        <f>'B7 Performance corr fusions'!S19/'B7 Performance corr fusions'!D19</f>
        <v>1658.7975805194756</v>
      </c>
      <c r="K19" s="149">
        <f t="shared" si="3"/>
        <v>28.895243742716275</v>
      </c>
      <c r="L19" s="152">
        <f t="shared" si="4"/>
        <v>1.7728205605164388E-2</v>
      </c>
      <c r="M19" s="347">
        <f>'[3]T2 PF2012'!$P19</f>
        <v>84.74755012398208</v>
      </c>
      <c r="N19" s="350">
        <f t="shared" si="5"/>
        <v>0.94149477801303372</v>
      </c>
      <c r="O19" s="333">
        <f>'B7 Performance corr fusions'!N19/'B7 Performance corr fusions'!E19</f>
        <v>1651.8542593521245</v>
      </c>
      <c r="P19" s="321">
        <f>'B7 Performance corr fusions'!T19/'B7 Performance corr fusions'!E19</f>
        <v>1678.3845759499923</v>
      </c>
      <c r="Q19" s="149">
        <f t="shared" si="6"/>
        <v>26.530316597867795</v>
      </c>
      <c r="R19" s="336">
        <f t="shared" si="7"/>
        <v>1.6060930586136141E-2</v>
      </c>
      <c r="S19" s="162"/>
      <c r="T19" s="162"/>
    </row>
    <row r="20" spans="1:20" ht="13.8" x14ac:dyDescent="0.25">
      <c r="A20" s="96">
        <v>2025</v>
      </c>
      <c r="B20" s="97" t="s">
        <v>26</v>
      </c>
      <c r="C20" s="104">
        <f>'B7 Performance corr fusions'!J20/'B7 Performance corr fusions'!C20</f>
        <v>1658.4588863658648</v>
      </c>
      <c r="D20" s="104">
        <f>'B7 Performance corr fusions'!R20/'B7 Performance corr fusions'!C20</f>
        <v>1689.9272834911121</v>
      </c>
      <c r="E20" s="143">
        <f t="shared" si="2"/>
        <v>31.468397125247293</v>
      </c>
      <c r="F20" s="147">
        <f t="shared" si="0"/>
        <v>1.8974481299444887E-2</v>
      </c>
      <c r="G20" s="175">
        <f>'[2]T1  PF2011'!P20</f>
        <v>70.013888630320821</v>
      </c>
      <c r="H20" s="157">
        <f t="shared" si="1"/>
        <v>1.2477450807092585</v>
      </c>
      <c r="I20" s="159">
        <f>'B7 Performance corr fusions'!L20/'B7 Performance corr fusions'!D20</f>
        <v>1837.0364938860814</v>
      </c>
      <c r="J20" s="98">
        <f>'B7 Performance corr fusions'!S20/'B7 Performance corr fusions'!D20</f>
        <v>1880.8093887507782</v>
      </c>
      <c r="K20" s="149">
        <f t="shared" si="3"/>
        <v>43.772894864696809</v>
      </c>
      <c r="L20" s="152">
        <f t="shared" si="4"/>
        <v>2.3827994169075696E-2</v>
      </c>
      <c r="M20" s="347">
        <f>'[3]T2 PF2012'!$P20</f>
        <v>72.890803315656854</v>
      </c>
      <c r="N20" s="350">
        <f t="shared" si="5"/>
        <v>1.6582547055031083</v>
      </c>
      <c r="O20" s="333">
        <f>'B7 Performance corr fusions'!N20/'B7 Performance corr fusions'!E20</f>
        <v>1866.4989638239981</v>
      </c>
      <c r="P20" s="321">
        <f>'B7 Performance corr fusions'!T20/'B7 Performance corr fusions'!E20</f>
        <v>1912.1728395622115</v>
      </c>
      <c r="Q20" s="149">
        <f t="shared" si="6"/>
        <v>45.673875738213383</v>
      </c>
      <c r="R20" s="336">
        <f t="shared" si="7"/>
        <v>2.4470346152584421E-2</v>
      </c>
      <c r="S20" s="162"/>
      <c r="T20" s="162"/>
    </row>
    <row r="21" spans="1:20" ht="13.8" x14ac:dyDescent="0.25">
      <c r="A21" s="96">
        <v>2027</v>
      </c>
      <c r="B21" s="97" t="s">
        <v>28</v>
      </c>
      <c r="C21" s="104">
        <f>'B7 Performance corr fusions'!J21/'B7 Performance corr fusions'!C21</f>
        <v>1659.4899456673045</v>
      </c>
      <c r="D21" s="104">
        <f>'B7 Performance corr fusions'!R21/'B7 Performance corr fusions'!C21</f>
        <v>1691.7312604002468</v>
      </c>
      <c r="E21" s="143">
        <f t="shared" si="2"/>
        <v>32.241314732942328</v>
      </c>
      <c r="F21" s="147">
        <f t="shared" si="0"/>
        <v>1.942844837181441E-2</v>
      </c>
      <c r="G21" s="175">
        <f>'[2]T1  PF2011'!P21</f>
        <v>68.38669644033088</v>
      </c>
      <c r="H21" s="157">
        <f t="shared" si="1"/>
        <v>1.3088098711625005</v>
      </c>
      <c r="I21" s="159">
        <f>'B7 Performance corr fusions'!L21/'B7 Performance corr fusions'!D21</f>
        <v>1909.1982232367732</v>
      </c>
      <c r="J21" s="98">
        <f>'B7 Performance corr fusions'!S21/'B7 Performance corr fusions'!D21</f>
        <v>1961.8815517198677</v>
      </c>
      <c r="K21" s="149">
        <f t="shared" si="3"/>
        <v>52.683328483094556</v>
      </c>
      <c r="L21" s="152">
        <f t="shared" si="4"/>
        <v>2.7594478059893377E-2</v>
      </c>
      <c r="M21" s="347">
        <f>'[3]T2 PF2012'!$P21</f>
        <v>71.575333174481543</v>
      </c>
      <c r="N21" s="350">
        <f t="shared" si="5"/>
        <v>2.0324905403904769</v>
      </c>
      <c r="O21" s="333">
        <f>'B7 Performance corr fusions'!N21/'B7 Performance corr fusions'!E21</f>
        <v>1944.2920570490492</v>
      </c>
      <c r="P21" s="321">
        <f>'B7 Performance corr fusions'!T21/'B7 Performance corr fusions'!E21</f>
        <v>1999.8964583539205</v>
      </c>
      <c r="Q21" s="149">
        <f t="shared" si="6"/>
        <v>55.604401304871317</v>
      </c>
      <c r="R21" s="336">
        <f t="shared" si="7"/>
        <v>2.8598790548609729E-2</v>
      </c>
      <c r="S21" s="162"/>
      <c r="T21" s="162"/>
    </row>
    <row r="22" spans="1:20" ht="13.8" x14ac:dyDescent="0.25">
      <c r="A22" s="96">
        <v>2029</v>
      </c>
      <c r="B22" s="97" t="s">
        <v>30</v>
      </c>
      <c r="C22" s="104">
        <f>'B7 Performance corr fusions'!J22/'B7 Performance corr fusions'!C22</f>
        <v>1628.5581666241112</v>
      </c>
      <c r="D22" s="104">
        <f>'B7 Performance corr fusions'!R22/'B7 Performance corr fusions'!C22</f>
        <v>1660.3828328286329</v>
      </c>
      <c r="E22" s="143">
        <f t="shared" si="2"/>
        <v>31.824666204521691</v>
      </c>
      <c r="F22" s="147">
        <f t="shared" si="0"/>
        <v>1.9541620837831068E-2</v>
      </c>
      <c r="G22" s="175">
        <f>'[2]T1  PF2011'!P22</f>
        <v>65.508224265808906</v>
      </c>
      <c r="H22" s="157">
        <f t="shared" si="1"/>
        <v>1.3486630948898339</v>
      </c>
      <c r="I22" s="159">
        <f>'B7 Performance corr fusions'!L22/'B7 Performance corr fusions'!D22</f>
        <v>1780.4010045912837</v>
      </c>
      <c r="J22" s="98">
        <f>'B7 Performance corr fusions'!S22/'B7 Performance corr fusions'!D22</f>
        <v>1821.1632834306201</v>
      </c>
      <c r="K22" s="149">
        <f t="shared" si="3"/>
        <v>40.762278839336432</v>
      </c>
      <c r="L22" s="152">
        <f t="shared" si="4"/>
        <v>2.2894998786351501E-2</v>
      </c>
      <c r="M22" s="347">
        <f>'[3]T2 PF2012'!$P22</f>
        <v>70.173180172484052</v>
      </c>
      <c r="N22" s="350">
        <f t="shared" si="5"/>
        <v>1.6040060519936266</v>
      </c>
      <c r="O22" s="333">
        <f>'B7 Performance corr fusions'!N22/'B7 Performance corr fusions'!E22</f>
        <v>1815.2911249350307</v>
      </c>
      <c r="P22" s="321">
        <f>'B7 Performance corr fusions'!T22/'B7 Performance corr fusions'!E22</f>
        <v>1855.6812554777453</v>
      </c>
      <c r="Q22" s="149">
        <f t="shared" si="6"/>
        <v>40.390130542714587</v>
      </c>
      <c r="R22" s="336">
        <f t="shared" si="7"/>
        <v>2.2249946572156658E-2</v>
      </c>
      <c r="S22" s="162"/>
      <c r="T22" s="162"/>
    </row>
    <row r="23" spans="1:20" ht="13.8" x14ac:dyDescent="0.25">
      <c r="A23" s="96">
        <v>2033</v>
      </c>
      <c r="B23" s="97" t="s">
        <v>33</v>
      </c>
      <c r="C23" s="104">
        <f>'B7 Performance corr fusions'!J23/'B7 Performance corr fusions'!C23</f>
        <v>1466.6818562980677</v>
      </c>
      <c r="D23" s="104">
        <f>'B7 Performance corr fusions'!R23/'B7 Performance corr fusions'!C23</f>
        <v>1489.513723116615</v>
      </c>
      <c r="E23" s="143">
        <f t="shared" si="2"/>
        <v>22.831866818547269</v>
      </c>
      <c r="F23" s="147">
        <f t="shared" si="0"/>
        <v>1.5567020700846007E-2</v>
      </c>
      <c r="G23" s="175">
        <f>'[2]T1  PF2011'!P23</f>
        <v>72.727697130510194</v>
      </c>
      <c r="H23" s="157">
        <f t="shared" si="1"/>
        <v>0.87151934148671351</v>
      </c>
      <c r="I23" s="159">
        <f>'B7 Performance corr fusions'!L23/'B7 Performance corr fusions'!D23</f>
        <v>1868.0889739978707</v>
      </c>
      <c r="J23" s="98">
        <f>'B7 Performance corr fusions'!S23/'B7 Performance corr fusions'!D23</f>
        <v>1923.3732267455066</v>
      </c>
      <c r="K23" s="149">
        <f t="shared" si="3"/>
        <v>55.284252747635946</v>
      </c>
      <c r="L23" s="152">
        <f t="shared" si="4"/>
        <v>2.9594014801834038E-2</v>
      </c>
      <c r="M23" s="347">
        <f>'[3]T2 PF2012'!$P23</f>
        <v>79.975488456893331</v>
      </c>
      <c r="N23" s="350">
        <f t="shared" si="5"/>
        <v>1.9088124033007636</v>
      </c>
      <c r="O23" s="333">
        <f>'B7 Performance corr fusions'!N23/'B7 Performance corr fusions'!E23</f>
        <v>1949.2879437699244</v>
      </c>
      <c r="P23" s="321">
        <f>'B7 Performance corr fusions'!T23/'B7 Performance corr fusions'!E23</f>
        <v>2006.1099320805815</v>
      </c>
      <c r="Q23" s="149">
        <f t="shared" si="6"/>
        <v>56.821988310657161</v>
      </c>
      <c r="R23" s="336">
        <f t="shared" si="7"/>
        <v>2.9150125558548005E-2</v>
      </c>
      <c r="S23" s="162"/>
      <c r="T23" s="162"/>
    </row>
    <row r="24" spans="1:20" ht="13.8" x14ac:dyDescent="0.25">
      <c r="A24" s="96">
        <v>2034</v>
      </c>
      <c r="B24" s="97" t="s">
        <v>35</v>
      </c>
      <c r="C24" s="104">
        <f>'B7 Performance corr fusions'!J24/'B7 Performance corr fusions'!C24</f>
        <v>1655.5375516784522</v>
      </c>
      <c r="D24" s="104">
        <f>'B7 Performance corr fusions'!R24/'B7 Performance corr fusions'!C24</f>
        <v>1688.4054665883052</v>
      </c>
      <c r="E24" s="143">
        <f t="shared" si="2"/>
        <v>32.867914909852971</v>
      </c>
      <c r="F24" s="147">
        <f t="shared" si="0"/>
        <v>1.9853318867053257E-2</v>
      </c>
      <c r="G24" s="175">
        <f>'[2]T1  PF2011'!P24</f>
        <v>62.593142489785578</v>
      </c>
      <c r="H24" s="157">
        <f t="shared" si="1"/>
        <v>1.4577425869702858</v>
      </c>
      <c r="I24" s="159">
        <f>'B7 Performance corr fusions'!L24/'B7 Performance corr fusions'!D24</f>
        <v>1789.9284700801279</v>
      </c>
      <c r="J24" s="98">
        <f>'B7 Performance corr fusions'!S24/'B7 Performance corr fusions'!D24</f>
        <v>1830.6841068486092</v>
      </c>
      <c r="K24" s="149">
        <f t="shared" si="3"/>
        <v>40.755636768481281</v>
      </c>
      <c r="L24" s="152">
        <f t="shared" si="4"/>
        <v>2.2769422046601009E-2</v>
      </c>
      <c r="M24" s="347">
        <f>'[3]T2 PF2012'!$P24</f>
        <v>63.34466646560648</v>
      </c>
      <c r="N24" s="350">
        <f t="shared" si="5"/>
        <v>1.7766273152488883</v>
      </c>
      <c r="O24" s="333">
        <f>'B7 Performance corr fusions'!N24/'B7 Performance corr fusions'!E24</f>
        <v>1818.6811909241958</v>
      </c>
      <c r="P24" s="321">
        <f>'B7 Performance corr fusions'!T24/'B7 Performance corr fusions'!E24</f>
        <v>1859.7677873010855</v>
      </c>
      <c r="Q24" s="149">
        <f t="shared" si="6"/>
        <v>41.086596376889702</v>
      </c>
      <c r="R24" s="336">
        <f t="shared" si="7"/>
        <v>2.2591423159773708E-2</v>
      </c>
      <c r="S24" s="162"/>
      <c r="T24" s="162"/>
    </row>
    <row r="25" spans="1:20" ht="13.8" x14ac:dyDescent="0.25">
      <c r="A25" s="96">
        <v>2035</v>
      </c>
      <c r="B25" s="97" t="s">
        <v>37</v>
      </c>
      <c r="C25" s="104">
        <f>'B7 Performance corr fusions'!J25/'B7 Performance corr fusions'!C25</f>
        <v>1609.1398831136621</v>
      </c>
      <c r="D25" s="104">
        <f>'B7 Performance corr fusions'!R25/'B7 Performance corr fusions'!C25</f>
        <v>1637.637427342788</v>
      </c>
      <c r="E25" s="143">
        <f t="shared" si="2"/>
        <v>28.497544229125879</v>
      </c>
      <c r="F25" s="147">
        <f t="shared" si="0"/>
        <v>1.7709799208993283E-2</v>
      </c>
      <c r="G25" s="175">
        <f>'[2]T1  PF2011'!P25</f>
        <v>63.175613318055255</v>
      </c>
      <c r="H25" s="157">
        <f t="shared" si="1"/>
        <v>1.2522568414186517</v>
      </c>
      <c r="I25" s="159">
        <f>'B7 Performance corr fusions'!L25/'B7 Performance corr fusions'!D25</f>
        <v>1968.3037961768268</v>
      </c>
      <c r="J25" s="98">
        <f>'B7 Performance corr fusions'!S25/'B7 Performance corr fusions'!D25</f>
        <v>2028.2078507583221</v>
      </c>
      <c r="K25" s="149">
        <f t="shared" si="3"/>
        <v>59.904054581495302</v>
      </c>
      <c r="L25" s="152">
        <f t="shared" si="4"/>
        <v>3.0434354035109371E-2</v>
      </c>
      <c r="M25" s="347">
        <f>'[3]T2 PF2012'!$P25</f>
        <v>62.284586916728145</v>
      </c>
      <c r="N25" s="350">
        <f t="shared" si="5"/>
        <v>2.6557936963586926</v>
      </c>
      <c r="O25" s="333">
        <f>'B7 Performance corr fusions'!N25/'B7 Performance corr fusions'!E25</f>
        <v>1967.6656699217142</v>
      </c>
      <c r="P25" s="321">
        <f>'B7 Performance corr fusions'!T25/'B7 Performance corr fusions'!E25</f>
        <v>2023.9657868359629</v>
      </c>
      <c r="Q25" s="149">
        <f t="shared" si="6"/>
        <v>56.300116914248747</v>
      </c>
      <c r="R25" s="336">
        <f t="shared" si="7"/>
        <v>2.8612643791507891E-2</v>
      </c>
      <c r="S25" s="162"/>
      <c r="T25" s="162"/>
    </row>
    <row r="26" spans="1:20" ht="13.8" x14ac:dyDescent="0.25">
      <c r="A26" s="96">
        <v>2038</v>
      </c>
      <c r="B26" s="97" t="s">
        <v>39</v>
      </c>
      <c r="C26" s="104">
        <f>'B7 Performance corr fusions'!J26/'B7 Performance corr fusions'!C26</f>
        <v>1719.4632283677174</v>
      </c>
      <c r="D26" s="104">
        <f>'B7 Performance corr fusions'!R26/'B7 Performance corr fusions'!C26</f>
        <v>1758.866002927818</v>
      </c>
      <c r="E26" s="143">
        <f t="shared" si="2"/>
        <v>39.402774560100625</v>
      </c>
      <c r="F26" s="147">
        <f t="shared" si="0"/>
        <v>2.2915741325567975E-2</v>
      </c>
      <c r="G26" s="175">
        <f>'[2]T1  PF2011'!P26</f>
        <v>56.446941035372433</v>
      </c>
      <c r="H26" s="157">
        <f t="shared" si="1"/>
        <v>1.9378574891833995</v>
      </c>
      <c r="I26" s="159">
        <f>'B7 Performance corr fusions'!L26/'B7 Performance corr fusions'!D26</f>
        <v>2062.6962783348226</v>
      </c>
      <c r="J26" s="98">
        <f>'B7 Performance corr fusions'!S26/'B7 Performance corr fusions'!D26</f>
        <v>2135.9304623391331</v>
      </c>
      <c r="K26" s="149">
        <f t="shared" si="3"/>
        <v>73.234184004310464</v>
      </c>
      <c r="L26" s="152">
        <f t="shared" si="4"/>
        <v>3.5504104396518861E-2</v>
      </c>
      <c r="M26" s="347">
        <f>'[3]T2 PF2012'!$P26</f>
        <v>69.772138044115223</v>
      </c>
      <c r="N26" s="350">
        <f t="shared" si="5"/>
        <v>2.898347946642541</v>
      </c>
      <c r="O26" s="333">
        <f>'B7 Performance corr fusions'!N26/'B7 Performance corr fusions'!E26</f>
        <v>2167.6795632824542</v>
      </c>
      <c r="P26" s="321">
        <f>'B7 Performance corr fusions'!T26/'B7 Performance corr fusions'!E26</f>
        <v>2254.5741600305187</v>
      </c>
      <c r="Q26" s="149">
        <f t="shared" si="6"/>
        <v>86.894596748064487</v>
      </c>
      <c r="R26" s="336">
        <f t="shared" si="7"/>
        <v>4.0086458450751143E-2</v>
      </c>
      <c r="S26" s="162"/>
      <c r="T26" s="162"/>
    </row>
    <row r="27" spans="1:20" ht="13.8" x14ac:dyDescent="0.25">
      <c r="A27" s="96">
        <v>2039</v>
      </c>
      <c r="B27" s="97" t="s">
        <v>41</v>
      </c>
      <c r="C27" s="104">
        <f>'B7 Performance corr fusions'!J27/'B7 Performance corr fusions'!C27</f>
        <v>1556.555858740234</v>
      </c>
      <c r="D27" s="104">
        <f>'B7 Performance corr fusions'!R27/'B7 Performance corr fusions'!C27</f>
        <v>1581.2036524784689</v>
      </c>
      <c r="E27" s="143">
        <f t="shared" si="2"/>
        <v>24.647793738234895</v>
      </c>
      <c r="F27" s="147">
        <f t="shared" si="0"/>
        <v>1.5834827641960161E-2</v>
      </c>
      <c r="G27" s="175">
        <f>'[2]T1  PF2011'!P27</f>
        <v>76.893283474305292</v>
      </c>
      <c r="H27" s="157">
        <f t="shared" si="1"/>
        <v>0.88986697221240252</v>
      </c>
      <c r="I27" s="159">
        <f>'B7 Performance corr fusions'!L27/'B7 Performance corr fusions'!D27</f>
        <v>1531.8047291508792</v>
      </c>
      <c r="J27" s="98">
        <f>'B7 Performance corr fusions'!S27/'B7 Performance corr fusions'!D27</f>
        <v>1552.1189675963715</v>
      </c>
      <c r="K27" s="149">
        <f t="shared" si="3"/>
        <v>20.314238445492265</v>
      </c>
      <c r="L27" s="152">
        <f t="shared" si="4"/>
        <v>1.3261637112684067E-2</v>
      </c>
      <c r="M27" s="347">
        <f>'[3]T2 PF2012'!$P27</f>
        <v>78.496210328055255</v>
      </c>
      <c r="N27" s="350">
        <f t="shared" si="5"/>
        <v>0.71461242234331235</v>
      </c>
      <c r="O27" s="333">
        <f>'B7 Performance corr fusions'!N27/'B7 Performance corr fusions'!E27</f>
        <v>1576.737534013256</v>
      </c>
      <c r="P27" s="321">
        <f>'B7 Performance corr fusions'!T27/'B7 Performance corr fusions'!E27</f>
        <v>1599.3156472004769</v>
      </c>
      <c r="Q27" s="149">
        <f t="shared" si="6"/>
        <v>22.578113187220879</v>
      </c>
      <c r="R27" s="336">
        <f t="shared" si="7"/>
        <v>1.4319512728128574E-2</v>
      </c>
      <c r="S27" s="162"/>
      <c r="T27" s="162"/>
    </row>
    <row r="28" spans="1:20" ht="13.8" x14ac:dyDescent="0.25">
      <c r="A28" s="96">
        <v>2040</v>
      </c>
      <c r="B28" s="97" t="s">
        <v>43</v>
      </c>
      <c r="C28" s="104">
        <f>'B7 Performance corr fusions'!J28/'B7 Performance corr fusions'!C28</f>
        <v>1763.7987783296276</v>
      </c>
      <c r="D28" s="104">
        <f>'B7 Performance corr fusions'!R28/'B7 Performance corr fusions'!C28</f>
        <v>1807.6997610005687</v>
      </c>
      <c r="E28" s="143">
        <f t="shared" si="2"/>
        <v>43.900982670941175</v>
      </c>
      <c r="F28" s="147">
        <f t="shared" si="0"/>
        <v>2.4890017620103341E-2</v>
      </c>
      <c r="G28" s="175">
        <f>'[2]T1  PF2011'!P28</f>
        <v>72.938082252648556</v>
      </c>
      <c r="H28" s="157">
        <f t="shared" si="1"/>
        <v>1.6709187971443415</v>
      </c>
      <c r="I28" s="159">
        <f>'B7 Performance corr fusions'!L28/'B7 Performance corr fusions'!D28</f>
        <v>1537.4506346257504</v>
      </c>
      <c r="J28" s="98">
        <f>'B7 Performance corr fusions'!S28/'B7 Performance corr fusions'!D28</f>
        <v>1560.4402186988048</v>
      </c>
      <c r="K28" s="149">
        <f t="shared" si="3"/>
        <v>22.989584073054402</v>
      </c>
      <c r="L28" s="152">
        <f t="shared" si="4"/>
        <v>1.4953055112986165E-2</v>
      </c>
      <c r="M28" s="347">
        <f>'[3]T2 PF2012'!$P28</f>
        <v>75.446464155186959</v>
      </c>
      <c r="N28" s="350">
        <f t="shared" si="5"/>
        <v>0.84141631514890003</v>
      </c>
      <c r="O28" s="333">
        <f>'B7 Performance corr fusions'!N28/'B7 Performance corr fusions'!E28</f>
        <v>1555.1481663980462</v>
      </c>
      <c r="P28" s="321">
        <f>'B7 Performance corr fusions'!T28/'B7 Performance corr fusions'!E28</f>
        <v>1576.458974027651</v>
      </c>
      <c r="Q28" s="149">
        <f t="shared" si="6"/>
        <v>21.310807629604824</v>
      </c>
      <c r="R28" s="336">
        <f t="shared" si="7"/>
        <v>1.3703393728048316E-2</v>
      </c>
      <c r="S28" s="162"/>
      <c r="T28" s="162"/>
    </row>
    <row r="29" spans="1:20" ht="13.8" x14ac:dyDescent="0.25">
      <c r="A29" s="96">
        <v>2041</v>
      </c>
      <c r="B29" s="97" t="s">
        <v>45</v>
      </c>
      <c r="C29" s="104">
        <f>'B7 Performance corr fusions'!J29/'B7 Performance corr fusions'!C29</f>
        <v>1730.9767239004616</v>
      </c>
      <c r="D29" s="104">
        <f>'B7 Performance corr fusions'!R29/'B7 Performance corr fusions'!C29</f>
        <v>1770.7222389339454</v>
      </c>
      <c r="E29" s="143">
        <f t="shared" si="2"/>
        <v>39.745515033483798</v>
      </c>
      <c r="F29" s="147">
        <f t="shared" si="0"/>
        <v>2.2961322636346052E-2</v>
      </c>
      <c r="G29" s="175">
        <f>'[2]T1  PF2011'!P29</f>
        <v>87.115908099200254</v>
      </c>
      <c r="H29" s="157">
        <f t="shared" si="1"/>
        <v>1.2665609806708662</v>
      </c>
      <c r="I29" s="159">
        <f>'B7 Performance corr fusions'!L29/'B7 Performance corr fusions'!D29</f>
        <v>1727.8235098565499</v>
      </c>
      <c r="J29" s="98">
        <f>'B7 Performance corr fusions'!S29/'B7 Performance corr fusions'!D29</f>
        <v>1761.7325601475668</v>
      </c>
      <c r="K29" s="149">
        <f t="shared" si="3"/>
        <v>33.909050291016911</v>
      </c>
      <c r="L29" s="152">
        <f t="shared" si="4"/>
        <v>1.9625297432046263E-2</v>
      </c>
      <c r="M29" s="347">
        <f>'[3]T2 PF2012'!$P29</f>
        <v>87.503661952432026</v>
      </c>
      <c r="N29" s="350">
        <f t="shared" si="5"/>
        <v>1.0700599359574074</v>
      </c>
      <c r="O29" s="333">
        <f>'B7 Performance corr fusions'!N29/'B7 Performance corr fusions'!E29</f>
        <v>1757.3031540677332</v>
      </c>
      <c r="P29" s="321">
        <f>'B7 Performance corr fusions'!T29/'B7 Performance corr fusions'!E29</f>
        <v>1792.1351553915435</v>
      </c>
      <c r="Q29" s="149">
        <f t="shared" si="6"/>
        <v>34.832001323810346</v>
      </c>
      <c r="R29" s="336">
        <f t="shared" si="7"/>
        <v>1.9821281970149918E-2</v>
      </c>
      <c r="S29" s="162"/>
      <c r="T29" s="162"/>
    </row>
    <row r="30" spans="1:20" ht="13.8" x14ac:dyDescent="0.25">
      <c r="A30" s="96">
        <v>2043</v>
      </c>
      <c r="B30" s="97" t="s">
        <v>47</v>
      </c>
      <c r="C30" s="104">
        <f>'B7 Performance corr fusions'!J30/'B7 Performance corr fusions'!C30</f>
        <v>1249.3001869111838</v>
      </c>
      <c r="D30" s="104">
        <f>'B7 Performance corr fusions'!R30/'B7 Performance corr fusions'!C30</f>
        <v>1260.3205940058817</v>
      </c>
      <c r="E30" s="143">
        <f t="shared" si="2"/>
        <v>11.02040709469793</v>
      </c>
      <c r="F30" s="147">
        <f t="shared" si="0"/>
        <v>8.8212642647122266E-3</v>
      </c>
      <c r="G30" s="175">
        <f>'[2]T1  PF2011'!P30</f>
        <v>94.777483229095054</v>
      </c>
      <c r="H30" s="157">
        <f t="shared" si="1"/>
        <v>0.32279582510891952</v>
      </c>
      <c r="I30" s="159">
        <f>'B7 Performance corr fusions'!L30/'B7 Performance corr fusions'!D30</f>
        <v>2175.9672569244181</v>
      </c>
      <c r="J30" s="98">
        <f>'B7 Performance corr fusions'!S30/'B7 Performance corr fusions'!D30</f>
        <v>2269.9170006134286</v>
      </c>
      <c r="K30" s="149">
        <f t="shared" si="3"/>
        <v>93.949743689010575</v>
      </c>
      <c r="L30" s="152">
        <f t="shared" si="4"/>
        <v>4.3176083367082535E-2</v>
      </c>
      <c r="M30" s="347">
        <f>'[3]T2 PF2012'!$P30</f>
        <v>94.045034009106146</v>
      </c>
      <c r="N30" s="350">
        <f t="shared" si="5"/>
        <v>2.7585346122521024</v>
      </c>
      <c r="O30" s="333">
        <f>'B7 Performance corr fusions'!N30/'B7 Performance corr fusions'!E30</f>
        <v>2180.5261291361321</v>
      </c>
      <c r="P30" s="321">
        <f>'B7 Performance corr fusions'!T30/'B7 Performance corr fusions'!E30</f>
        <v>2267.4055239303425</v>
      </c>
      <c r="Q30" s="149">
        <f t="shared" si="6"/>
        <v>86.879394794210384</v>
      </c>
      <c r="R30" s="336">
        <f t="shared" si="7"/>
        <v>3.9843317460556985E-2</v>
      </c>
      <c r="S30" s="162"/>
      <c r="T30" s="162"/>
    </row>
    <row r="31" spans="1:20" ht="13.8" x14ac:dyDescent="0.25">
      <c r="A31" s="96">
        <v>2044</v>
      </c>
      <c r="B31" s="97" t="s">
        <v>49</v>
      </c>
      <c r="C31" s="104">
        <f>'B7 Performance corr fusions'!J31/'B7 Performance corr fusions'!C31</f>
        <v>1785.7947100936756</v>
      </c>
      <c r="D31" s="104">
        <f>'B7 Performance corr fusions'!R31/'B7 Performance corr fusions'!C31</f>
        <v>1832.8243511017981</v>
      </c>
      <c r="E31" s="143">
        <f t="shared" si="2"/>
        <v>47.029641008122553</v>
      </c>
      <c r="F31" s="147">
        <f t="shared" si="0"/>
        <v>2.6335412879376022E-2</v>
      </c>
      <c r="G31" s="175">
        <f>'[2]T1  PF2011'!P31</f>
        <v>64.534760085172891</v>
      </c>
      <c r="H31" s="157">
        <f t="shared" si="1"/>
        <v>2.0230816330297277</v>
      </c>
      <c r="I31" s="159">
        <f>'B7 Performance corr fusions'!L31/'B7 Performance corr fusions'!D31</f>
        <v>1639.6062368116939</v>
      </c>
      <c r="J31" s="98">
        <f>'B7 Performance corr fusions'!S31/'B7 Performance corr fusions'!D31</f>
        <v>1669.0923110887661</v>
      </c>
      <c r="K31" s="149">
        <f t="shared" si="3"/>
        <v>29.486074277072248</v>
      </c>
      <c r="L31" s="152">
        <f t="shared" si="4"/>
        <v>1.798363144458975E-2</v>
      </c>
      <c r="M31" s="347">
        <f>'[3]T2 PF2012'!$P31</f>
        <v>62.160201351921906</v>
      </c>
      <c r="N31" s="350">
        <f t="shared" si="5"/>
        <v>1.3098550790040073</v>
      </c>
      <c r="O31" s="333">
        <f>'B7 Performance corr fusions'!N31/'B7 Performance corr fusions'!E31</f>
        <v>1662.5597308968563</v>
      </c>
      <c r="P31" s="321">
        <f>'B7 Performance corr fusions'!T31/'B7 Performance corr fusions'!E31</f>
        <v>1690.7784922485225</v>
      </c>
      <c r="Q31" s="149">
        <f t="shared" si="6"/>
        <v>28.218761351666217</v>
      </c>
      <c r="R31" s="336">
        <f t="shared" si="7"/>
        <v>1.6973081223640489E-2</v>
      </c>
      <c r="S31" s="162"/>
      <c r="T31" s="162"/>
    </row>
    <row r="32" spans="1:20" ht="13.8" x14ac:dyDescent="0.25">
      <c r="A32" s="96">
        <v>2045</v>
      </c>
      <c r="B32" s="97" t="s">
        <v>51</v>
      </c>
      <c r="C32" s="104">
        <f>'B7 Performance corr fusions'!J32/'B7 Performance corr fusions'!C32</f>
        <v>1540.7462827848246</v>
      </c>
      <c r="D32" s="104">
        <f>'B7 Performance corr fusions'!R32/'B7 Performance corr fusions'!C32</f>
        <v>1565.3085341352198</v>
      </c>
      <c r="E32" s="143">
        <f t="shared" si="2"/>
        <v>24.562251350395172</v>
      </c>
      <c r="F32" s="147">
        <f t="shared" si="0"/>
        <v>1.5941788485772029E-2</v>
      </c>
      <c r="G32" s="175">
        <f>'[2]T1  PF2011'!P32</f>
        <v>72.833519418311795</v>
      </c>
      <c r="H32" s="157">
        <f t="shared" si="1"/>
        <v>0.93620793675742098</v>
      </c>
      <c r="I32" s="159">
        <f>'B7 Performance corr fusions'!L32/'B7 Performance corr fusions'!D32</f>
        <v>1867.0303667213323</v>
      </c>
      <c r="J32" s="98">
        <f>'B7 Performance corr fusions'!S32/'B7 Performance corr fusions'!D32</f>
        <v>1915.001724187128</v>
      </c>
      <c r="K32" s="149">
        <f t="shared" si="3"/>
        <v>47.971357465795791</v>
      </c>
      <c r="L32" s="152">
        <f t="shared" si="4"/>
        <v>2.5693935310777866E-2</v>
      </c>
      <c r="M32" s="347">
        <f>'[3]T2 PF2012'!$P32</f>
        <v>71.855466639035868</v>
      </c>
      <c r="N32" s="350">
        <f t="shared" si="5"/>
        <v>1.8434904823337084</v>
      </c>
      <c r="O32" s="333">
        <f>'B7 Performance corr fusions'!N32/'B7 Performance corr fusions'!E32</f>
        <v>1860.6109544743954</v>
      </c>
      <c r="P32" s="321">
        <f>'B7 Performance corr fusions'!T32/'B7 Performance corr fusions'!E32</f>
        <v>1901.6039310759759</v>
      </c>
      <c r="Q32" s="149">
        <f t="shared" si="6"/>
        <v>40.992976601580494</v>
      </c>
      <c r="R32" s="336">
        <f t="shared" si="7"/>
        <v>2.2031997878439135E-2</v>
      </c>
      <c r="S32" s="162"/>
      <c r="T32" s="162"/>
    </row>
    <row r="33" spans="1:20" ht="13.8" x14ac:dyDescent="0.25">
      <c r="A33" s="96">
        <v>2047</v>
      </c>
      <c r="B33" s="97" t="s">
        <v>53</v>
      </c>
      <c r="C33" s="104">
        <f>'B7 Performance corr fusions'!J33/'B7 Performance corr fusions'!C33</f>
        <v>1720.4942876691575</v>
      </c>
      <c r="D33" s="104">
        <f>'B7 Performance corr fusions'!R33/'B7 Performance corr fusions'!C33</f>
        <v>1758.3756256393021</v>
      </c>
      <c r="E33" s="143">
        <f t="shared" si="2"/>
        <v>37.881337970144614</v>
      </c>
      <c r="F33" s="147">
        <f t="shared" si="0"/>
        <v>2.2017706331047701E-2</v>
      </c>
      <c r="G33" s="175">
        <f>'[2]T1  PF2011'!P33</f>
        <v>68.735418111756445</v>
      </c>
      <c r="H33" s="157">
        <f t="shared" si="1"/>
        <v>1.5299603452998554</v>
      </c>
      <c r="I33" s="159">
        <f>'B7 Performance corr fusions'!L33/'B7 Performance corr fusions'!D33</f>
        <v>1718.1196098216153</v>
      </c>
      <c r="J33" s="98">
        <f>'B7 Performance corr fusions'!S33/'B7 Performance corr fusions'!D33</f>
        <v>1752.3946025040084</v>
      </c>
      <c r="K33" s="149">
        <f t="shared" si="3"/>
        <v>34.274992682393076</v>
      </c>
      <c r="L33" s="152">
        <f t="shared" si="4"/>
        <v>1.9949130716197166E-2</v>
      </c>
      <c r="M33" s="347">
        <f>'[3]T2 PF2012'!$P33</f>
        <v>70.015433229916695</v>
      </c>
      <c r="N33" s="350">
        <f t="shared" si="5"/>
        <v>1.3517684196233046</v>
      </c>
      <c r="O33" s="333">
        <f>'B7 Performance corr fusions'!N33/'B7 Performance corr fusions'!E33</f>
        <v>1724.1161922790641</v>
      </c>
      <c r="P33" s="321">
        <f>'B7 Performance corr fusions'!T33/'B7 Performance corr fusions'!E33</f>
        <v>1753.9771110425972</v>
      </c>
      <c r="Q33" s="149">
        <f t="shared" si="6"/>
        <v>29.860918763533164</v>
      </c>
      <c r="R33" s="336">
        <f t="shared" si="7"/>
        <v>1.7319551256032691E-2</v>
      </c>
      <c r="S33" s="162"/>
      <c r="T33" s="162"/>
    </row>
    <row r="34" spans="1:20" ht="13.8" x14ac:dyDescent="0.25">
      <c r="A34" s="96">
        <v>2049</v>
      </c>
      <c r="B34" s="97" t="s">
        <v>55</v>
      </c>
      <c r="C34" s="104">
        <f>'B7 Performance corr fusions'!J34/'B7 Performance corr fusions'!C34</f>
        <v>1692.6556865302834</v>
      </c>
      <c r="D34" s="104">
        <f>'B7 Performance corr fusions'!R34/'B7 Performance corr fusions'!C34</f>
        <v>1726.0073548934788</v>
      </c>
      <c r="E34" s="143">
        <f t="shared" si="2"/>
        <v>33.351668363195358</v>
      </c>
      <c r="F34" s="147">
        <f t="shared" si="0"/>
        <v>1.9703752292093021E-2</v>
      </c>
      <c r="G34" s="175">
        <f>'[2]T1  PF2011'!P34</f>
        <v>75.255082263020284</v>
      </c>
      <c r="H34" s="157">
        <f t="shared" si="1"/>
        <v>1.2303174175144898</v>
      </c>
      <c r="I34" s="159">
        <f>'B7 Performance corr fusions'!L34/'B7 Performance corr fusions'!D34</f>
        <v>1517.6899654637025</v>
      </c>
      <c r="J34" s="98">
        <f>'B7 Performance corr fusions'!S34/'B7 Performance corr fusions'!D34</f>
        <v>1535.1729439443359</v>
      </c>
      <c r="K34" s="149">
        <f t="shared" si="3"/>
        <v>17.482978480633392</v>
      </c>
      <c r="L34" s="152">
        <f t="shared" si="4"/>
        <v>1.151946634587637E-2</v>
      </c>
      <c r="M34" s="347">
        <f>'[3]T2 PF2012'!$P34</f>
        <v>82.274233143182002</v>
      </c>
      <c r="N34" s="350">
        <f t="shared" si="5"/>
        <v>0.58677322147725575</v>
      </c>
      <c r="O34" s="333">
        <f>'B7 Performance corr fusions'!N34/'B7 Performance corr fusions'!E34</f>
        <v>1538.733110029458</v>
      </c>
      <c r="P34" s="321">
        <f>'B7 Performance corr fusions'!T34/'B7 Performance corr fusions'!E34</f>
        <v>1556.5230827243281</v>
      </c>
      <c r="Q34" s="149">
        <f t="shared" si="6"/>
        <v>17.78997269487013</v>
      </c>
      <c r="R34" s="336">
        <f t="shared" si="7"/>
        <v>1.1561441408464625E-2</v>
      </c>
      <c r="S34" s="162"/>
      <c r="T34" s="162"/>
    </row>
    <row r="35" spans="1:20" ht="13.8" x14ac:dyDescent="0.25">
      <c r="A35" s="96">
        <v>2050</v>
      </c>
      <c r="B35" s="97" t="s">
        <v>31</v>
      </c>
      <c r="C35" s="104">
        <f>'B7 Performance corr fusions'!J35/'B7 Performance corr fusions'!C35</f>
        <v>1701.7633770263346</v>
      </c>
      <c r="D35" s="104">
        <f>'B7 Performance corr fusions'!R35/'B7 Performance corr fusions'!C35</f>
        <v>1737.2343548958152</v>
      </c>
      <c r="E35" s="143">
        <f t="shared" si="2"/>
        <v>35.470977869480521</v>
      </c>
      <c r="F35" s="147">
        <f t="shared" si="0"/>
        <v>2.0843660375076699E-2</v>
      </c>
      <c r="G35" s="175">
        <f>'[2]T1  PF2011'!P35</f>
        <v>72.802265744742556</v>
      </c>
      <c r="H35" s="157">
        <f t="shared" si="1"/>
        <v>1.3525823289696153</v>
      </c>
      <c r="I35" s="159">
        <f>'B7 Performance corr fusions'!L35/'B7 Performance corr fusions'!D35</f>
        <v>1551.036094674658</v>
      </c>
      <c r="J35" s="98">
        <f>'B7 Performance corr fusions'!S35/'B7 Performance corr fusions'!D35</f>
        <v>1573.8515275459672</v>
      </c>
      <c r="K35" s="149">
        <f t="shared" si="3"/>
        <v>22.815432871309213</v>
      </c>
      <c r="L35" s="152">
        <f t="shared" si="4"/>
        <v>1.4709801370608934E-2</v>
      </c>
      <c r="M35" s="347">
        <f>'[3]T2 PF2012'!$P35</f>
        <v>70.485340669671999</v>
      </c>
      <c r="N35" s="350">
        <f t="shared" si="5"/>
        <v>0.89381701056011531</v>
      </c>
      <c r="O35" s="333">
        <f>'B7 Performance corr fusions'!N35/'B7 Performance corr fusions'!E35</f>
        <v>1604.5717600295588</v>
      </c>
      <c r="P35" s="321">
        <f>'B7 Performance corr fusions'!T35/'B7 Performance corr fusions'!E35</f>
        <v>1630.2184022504539</v>
      </c>
      <c r="Q35" s="149">
        <f t="shared" si="6"/>
        <v>25.646642220895046</v>
      </c>
      <c r="R35" s="336">
        <f t="shared" si="7"/>
        <v>1.5983480988362025E-2</v>
      </c>
      <c r="S35" s="162"/>
      <c r="T35" s="162"/>
    </row>
    <row r="36" spans="1:20" ht="13.8" x14ac:dyDescent="0.25">
      <c r="A36" s="96">
        <v>2051</v>
      </c>
      <c r="B36" s="97" t="s">
        <v>310</v>
      </c>
      <c r="C36" s="104">
        <f>'B7 Performance corr fusions'!J36/'B7 Performance corr fusions'!C36</f>
        <v>1512.0484655614175</v>
      </c>
      <c r="D36" s="104">
        <f>'B7 Performance corr fusions'!R36/'B7 Performance corr fusions'!C36</f>
        <v>1534.6303973448198</v>
      </c>
      <c r="E36" s="143">
        <f t="shared" si="2"/>
        <v>22.581931783402297</v>
      </c>
      <c r="F36" s="147">
        <f t="shared" si="0"/>
        <v>1.4934661353607945E-2</v>
      </c>
      <c r="G36" s="175">
        <f>'[2]T1  PF2011'!P36</f>
        <v>92.414403147769349</v>
      </c>
      <c r="H36" s="157">
        <f t="shared" si="1"/>
        <v>0.67835475191833383</v>
      </c>
      <c r="I36" s="159">
        <f>'B7 Performance corr fusions'!L36/'B7 Performance corr fusions'!D36</f>
        <v>1460.8780416228151</v>
      </c>
      <c r="J36" s="98">
        <f>'B7 Performance corr fusions'!S36/'B7 Performance corr fusions'!D36</f>
        <v>1478.5771162214239</v>
      </c>
      <c r="K36" s="149">
        <f t="shared" si="3"/>
        <v>17.699074598608831</v>
      </c>
      <c r="L36" s="152">
        <f t="shared" si="4"/>
        <v>1.2115367672271827E-2</v>
      </c>
      <c r="M36" s="347">
        <f>'[3]T2 PF2012'!$P36</f>
        <v>89.262903336446684</v>
      </c>
      <c r="N36" s="350">
        <f t="shared" si="5"/>
        <v>0.54751781798241905</v>
      </c>
      <c r="O36" s="333">
        <f>'B7 Performance corr fusions'!N36/'B7 Performance corr fusions'!E36</f>
        <v>1474.1434317095759</v>
      </c>
      <c r="P36" s="321">
        <f>'B7 Performance corr fusions'!T36/'B7 Performance corr fusions'!E36</f>
        <v>1490.9544186154862</v>
      </c>
      <c r="Q36" s="149">
        <f t="shared" si="6"/>
        <v>16.81098690591034</v>
      </c>
      <c r="R36" s="336">
        <f t="shared" si="7"/>
        <v>1.1403901780720553E-2</v>
      </c>
      <c r="S36" s="162"/>
      <c r="T36" s="162"/>
    </row>
    <row r="37" spans="1:20" ht="13.8" x14ac:dyDescent="0.25">
      <c r="A37" s="96">
        <v>2052</v>
      </c>
      <c r="B37" s="97" t="s">
        <v>311</v>
      </c>
      <c r="C37" s="104">
        <f>'B7 Performance corr fusions'!J37/'B7 Performance corr fusions'!C37</f>
        <v>1753.6600285321363</v>
      </c>
      <c r="D37" s="104">
        <f>'B7 Performance corr fusions'!R37/'B7 Performance corr fusions'!C37</f>
        <v>1796.0960141521596</v>
      </c>
      <c r="E37" s="143">
        <f t="shared" si="2"/>
        <v>42.435985620023303</v>
      </c>
      <c r="F37" s="147">
        <f t="shared" si="0"/>
        <v>2.4198524759410429E-2</v>
      </c>
      <c r="G37" s="175">
        <f>'[2]T1  PF2011'!P37</f>
        <v>64.989243989722638</v>
      </c>
      <c r="H37" s="157">
        <f t="shared" si="1"/>
        <v>1.8127096725417595</v>
      </c>
      <c r="I37" s="159">
        <f>'B7 Performance corr fusions'!L37/'B7 Performance corr fusions'!D37</f>
        <v>1853.7977757646036</v>
      </c>
      <c r="J37" s="98">
        <f>'B7 Performance corr fusions'!S37/'B7 Performance corr fusions'!D37</f>
        <v>1900.8302549943505</v>
      </c>
      <c r="K37" s="149">
        <f t="shared" si="3"/>
        <v>47.032479229746968</v>
      </c>
      <c r="L37" s="152">
        <f t="shared" si="4"/>
        <v>2.537087909189464E-2</v>
      </c>
      <c r="M37" s="347">
        <f>'[3]T2 PF2012'!$P37</f>
        <v>64.819759665854832</v>
      </c>
      <c r="N37" s="350">
        <f t="shared" si="5"/>
        <v>2.0035914129791172</v>
      </c>
      <c r="O37" s="333">
        <f>'B7 Performance corr fusions'!N37/'B7 Performance corr fusions'!E37</f>
        <v>1856.5071903822479</v>
      </c>
      <c r="P37" s="321">
        <f>'B7 Performance corr fusions'!T37/'B7 Performance corr fusions'!E37</f>
        <v>1902.1636552628872</v>
      </c>
      <c r="Q37" s="149">
        <f t="shared" si="6"/>
        <v>45.656464880639305</v>
      </c>
      <c r="R37" s="336">
        <f t="shared" si="7"/>
        <v>2.4592667950420817E-2</v>
      </c>
      <c r="S37" s="162"/>
      <c r="T37" s="162"/>
    </row>
    <row r="38" spans="1:20" ht="13.8" x14ac:dyDescent="0.25">
      <c r="A38" s="96">
        <v>2061</v>
      </c>
      <c r="B38" s="97" t="s">
        <v>57</v>
      </c>
      <c r="C38" s="104">
        <f>'B7 Performance corr fusions'!J38/'B7 Performance corr fusions'!C38</f>
        <v>1381.791307146194</v>
      </c>
      <c r="D38" s="104">
        <f>'B7 Performance corr fusions'!R38/'B7 Performance corr fusions'!C38</f>
        <v>1398.99913008762</v>
      </c>
      <c r="E38" s="143">
        <f t="shared" si="2"/>
        <v>17.207822941426002</v>
      </c>
      <c r="F38" s="147">
        <f t="shared" si="0"/>
        <v>1.245327196113661E-2</v>
      </c>
      <c r="G38" s="175">
        <f>'[2]T1  PF2011'!P38</f>
        <v>102.02282016644169</v>
      </c>
      <c r="H38" s="157">
        <f t="shared" si="1"/>
        <v>0.46823518794892172</v>
      </c>
      <c r="I38" s="159">
        <f>'B7 Performance corr fusions'!L38/'B7 Performance corr fusions'!D38</f>
        <v>1925.6066360231168</v>
      </c>
      <c r="J38" s="98">
        <f>'B7 Performance corr fusions'!S38/'B7 Performance corr fusions'!D38</f>
        <v>1980.9071273551006</v>
      </c>
      <c r="K38" s="149">
        <f t="shared" si="3"/>
        <v>55.300491331983721</v>
      </c>
      <c r="L38" s="152">
        <f t="shared" si="4"/>
        <v>2.8718477750052707E-2</v>
      </c>
      <c r="M38" s="347">
        <f>'[3]T2 PF2012'!$P38</f>
        <v>110.92027701101186</v>
      </c>
      <c r="N38" s="350">
        <f t="shared" si="5"/>
        <v>1.3766918779174027</v>
      </c>
      <c r="O38" s="333">
        <f>'B7 Performance corr fusions'!N38/'B7 Performance corr fusions'!E38</f>
        <v>1922.3458403823493</v>
      </c>
      <c r="P38" s="321">
        <f>'B7 Performance corr fusions'!T38/'B7 Performance corr fusions'!E38</f>
        <v>1973.5316090602491</v>
      </c>
      <c r="Q38" s="149">
        <f t="shared" si="6"/>
        <v>51.185768677899887</v>
      </c>
      <c r="R38" s="336">
        <f t="shared" si="7"/>
        <v>2.662672220713375E-2</v>
      </c>
      <c r="S38" s="162"/>
      <c r="T38" s="162"/>
    </row>
    <row r="39" spans="1:20" ht="13.8" x14ac:dyDescent="0.25">
      <c r="A39" s="96">
        <v>2063</v>
      </c>
      <c r="B39" s="97" t="s">
        <v>59</v>
      </c>
      <c r="C39" s="104">
        <f>'B7 Performance corr fusions'!J39/'B7 Performance corr fusions'!C39</f>
        <v>2147.180995248314</v>
      </c>
      <c r="D39" s="104">
        <f>'B7 Performance corr fusions'!R39/'B7 Performance corr fusions'!C39</f>
        <v>2243.7842071676214</v>
      </c>
      <c r="E39" s="143">
        <f t="shared" si="2"/>
        <v>96.603211919307341</v>
      </c>
      <c r="F39" s="147">
        <f t="shared" si="0"/>
        <v>4.4990716727229374E-2</v>
      </c>
      <c r="G39" s="175">
        <f>'[2]T1  PF2011'!P39</f>
        <v>62.183873049129581</v>
      </c>
      <c r="H39" s="157">
        <f t="shared" si="1"/>
        <v>4.312699929746822</v>
      </c>
      <c r="I39" s="159">
        <f>'B7 Performance corr fusions'!L39/'B7 Performance corr fusions'!D39</f>
        <v>1868.2654085439603</v>
      </c>
      <c r="J39" s="98">
        <f>'B7 Performance corr fusions'!S39/'B7 Performance corr fusions'!D39</f>
        <v>1919.3479363525316</v>
      </c>
      <c r="K39" s="149">
        <f t="shared" si="3"/>
        <v>51.082527808571285</v>
      </c>
      <c r="L39" s="152">
        <f t="shared" si="4"/>
        <v>2.7342222135549061E-2</v>
      </c>
      <c r="M39" s="347">
        <f>'[3]T2 PF2012'!$P39</f>
        <v>65.973156837648077</v>
      </c>
      <c r="N39" s="350">
        <f t="shared" si="5"/>
        <v>2.1380793556260644</v>
      </c>
      <c r="O39" s="333">
        <f>'B7 Performance corr fusions'!N39/'B7 Performance corr fusions'!E39</f>
        <v>1886.6609352332428</v>
      </c>
      <c r="P39" s="321">
        <f>'B7 Performance corr fusions'!T39/'B7 Performance corr fusions'!E39</f>
        <v>1936.1529017869127</v>
      </c>
      <c r="Q39" s="149">
        <f t="shared" si="6"/>
        <v>49.491966553669954</v>
      </c>
      <c r="R39" s="336">
        <f t="shared" si="7"/>
        <v>2.623257079712174E-2</v>
      </c>
      <c r="S39" s="162"/>
      <c r="T39" s="162"/>
    </row>
    <row r="40" spans="1:20" ht="13.8" x14ac:dyDescent="0.25">
      <c r="A40" s="96">
        <v>2066</v>
      </c>
      <c r="B40" s="97" t="s">
        <v>60</v>
      </c>
      <c r="C40" s="104">
        <f>'B7 Performance corr fusions'!J40/'B7 Performance corr fusions'!C40</f>
        <v>1659.146259233491</v>
      </c>
      <c r="D40" s="104">
        <f>'B7 Performance corr fusions'!R40/'B7 Performance corr fusions'!C40</f>
        <v>1691.1773140328071</v>
      </c>
      <c r="E40" s="143">
        <f t="shared" si="2"/>
        <v>32.031054799316053</v>
      </c>
      <c r="F40" s="147">
        <f t="shared" ref="F40:F71" si="8">E40/C40</f>
        <v>1.9305745121056463E-2</v>
      </c>
      <c r="G40" s="175">
        <f>'[2]T1  PF2011'!P40</f>
        <v>99.778178423553697</v>
      </c>
      <c r="H40" s="157">
        <f t="shared" ref="H40:H71" si="9">E40/($G$4*G40/100)*100</f>
        <v>0.89119165840724679</v>
      </c>
      <c r="I40" s="159">
        <f>'B7 Performance corr fusions'!L40/'B7 Performance corr fusions'!D40</f>
        <v>1729.2349862252672</v>
      </c>
      <c r="J40" s="98">
        <f>'B7 Performance corr fusions'!S40/'B7 Performance corr fusions'!D40</f>
        <v>1765.2547789992898</v>
      </c>
      <c r="K40" s="149">
        <f t="shared" si="3"/>
        <v>36.019792774022562</v>
      </c>
      <c r="L40" s="152">
        <f t="shared" si="4"/>
        <v>2.0829900540382813E-2</v>
      </c>
      <c r="M40" s="347">
        <f>'[3]T2 PF2012'!$P40</f>
        <v>79.708578232232611</v>
      </c>
      <c r="N40" s="350">
        <f t="shared" si="5"/>
        <v>1.2478283636010996</v>
      </c>
      <c r="O40" s="333">
        <f>'B7 Performance corr fusions'!N40/'B7 Performance corr fusions'!E40</f>
        <v>1745.7055598942734</v>
      </c>
      <c r="P40" s="321">
        <f>'B7 Performance corr fusions'!T40/'B7 Performance corr fusions'!E40</f>
        <v>1781.977307154169</v>
      </c>
      <c r="Q40" s="149">
        <f t="shared" si="6"/>
        <v>36.271747259895619</v>
      </c>
      <c r="R40" s="336">
        <f t="shared" si="7"/>
        <v>2.0777700485809517E-2</v>
      </c>
      <c r="S40" s="162"/>
      <c r="T40" s="162"/>
    </row>
    <row r="41" spans="1:20" ht="13.8" x14ac:dyDescent="0.25">
      <c r="A41" s="96">
        <v>2067</v>
      </c>
      <c r="B41" s="97" t="s">
        <v>62</v>
      </c>
      <c r="C41" s="104">
        <f>'B7 Performance corr fusions'!J41/'B7 Performance corr fusions'!C41</f>
        <v>1704.1691820630276</v>
      </c>
      <c r="D41" s="104">
        <f>'B7 Performance corr fusions'!R41/'B7 Performance corr fusions'!C41</f>
        <v>1741.9314574491905</v>
      </c>
      <c r="E41" s="143">
        <f t="shared" si="2"/>
        <v>37.762275386162855</v>
      </c>
      <c r="F41" s="147">
        <f t="shared" si="8"/>
        <v>2.2158759695706222E-2</v>
      </c>
      <c r="G41" s="175">
        <f>'[2]T1  PF2011'!P41</f>
        <v>56.184965266196286</v>
      </c>
      <c r="H41" s="157">
        <f t="shared" si="9"/>
        <v>1.8658360583791136</v>
      </c>
      <c r="I41" s="159">
        <f>'B7 Performance corr fusions'!L41/'B7 Performance corr fusions'!D41</f>
        <v>1805.1018410438433</v>
      </c>
      <c r="J41" s="98">
        <f>'B7 Performance corr fusions'!S41/'B7 Performance corr fusions'!D41</f>
        <v>1846.7962147987184</v>
      </c>
      <c r="K41" s="149">
        <f t="shared" si="3"/>
        <v>41.694373754875187</v>
      </c>
      <c r="L41" s="152">
        <f t="shared" si="4"/>
        <v>2.3098072810542599E-2</v>
      </c>
      <c r="M41" s="347">
        <f>'[3]T2 PF2012'!$P41</f>
        <v>57.598630911072412</v>
      </c>
      <c r="N41" s="350">
        <f t="shared" si="5"/>
        <v>1.9988674705384974</v>
      </c>
      <c r="O41" s="333">
        <f>'B7 Performance corr fusions'!N41/'B7 Performance corr fusions'!E41</f>
        <v>1803.3366817100803</v>
      </c>
      <c r="P41" s="321">
        <f>'B7 Performance corr fusions'!T41/'B7 Performance corr fusions'!E41</f>
        <v>1843.3961631772713</v>
      </c>
      <c r="Q41" s="149">
        <f t="shared" si="6"/>
        <v>40.059481467191063</v>
      </c>
      <c r="R41" s="336">
        <f t="shared" si="7"/>
        <v>2.2214088957145366E-2</v>
      </c>
      <c r="S41" s="162"/>
      <c r="T41" s="162"/>
    </row>
    <row r="42" spans="1:20" ht="13.8" x14ac:dyDescent="0.25">
      <c r="A42" s="96">
        <v>2068</v>
      </c>
      <c r="B42" s="97" t="s">
        <v>64</v>
      </c>
      <c r="C42" s="104">
        <f>'B7 Performance corr fusions'!J42/'B7 Performance corr fusions'!C42</f>
        <v>1694.5459619162566</v>
      </c>
      <c r="D42" s="104">
        <f>'B7 Performance corr fusions'!R42/'B7 Performance corr fusions'!C42</f>
        <v>1730.1448525293461</v>
      </c>
      <c r="E42" s="143">
        <f t="shared" si="2"/>
        <v>35.598890613089452</v>
      </c>
      <c r="F42" s="147">
        <f t="shared" si="8"/>
        <v>2.1007922719802112E-2</v>
      </c>
      <c r="G42" s="175">
        <f>'[2]T1  PF2011'!P42</f>
        <v>63.916216756913471</v>
      </c>
      <c r="H42" s="157">
        <f t="shared" si="9"/>
        <v>1.5461828314168951</v>
      </c>
      <c r="I42" s="159">
        <f>'B7 Performance corr fusions'!L42/'B7 Performance corr fusions'!D42</f>
        <v>1997.5919308277194</v>
      </c>
      <c r="J42" s="98">
        <f>'B7 Performance corr fusions'!S42/'B7 Performance corr fusions'!D42</f>
        <v>2063.6955245836025</v>
      </c>
      <c r="K42" s="149">
        <f t="shared" si="3"/>
        <v>66.103593755883139</v>
      </c>
      <c r="L42" s="152">
        <f t="shared" si="4"/>
        <v>3.3091640357444052E-2</v>
      </c>
      <c r="M42" s="347">
        <f>'[3]T2 PF2012'!$P42</f>
        <v>66.333222462505788</v>
      </c>
      <c r="N42" s="350">
        <f t="shared" si="5"/>
        <v>2.7517734793843136</v>
      </c>
      <c r="O42" s="333">
        <f>'B7 Performance corr fusions'!N42/'B7 Performance corr fusions'!E42</f>
        <v>1984.7944243932845</v>
      </c>
      <c r="P42" s="321">
        <f>'B7 Performance corr fusions'!T42/'B7 Performance corr fusions'!E42</f>
        <v>2047.0296177837611</v>
      </c>
      <c r="Q42" s="149">
        <f t="shared" si="6"/>
        <v>62.235193390476525</v>
      </c>
      <c r="R42" s="336">
        <f t="shared" si="7"/>
        <v>3.1355989630765253E-2</v>
      </c>
      <c r="S42" s="162"/>
      <c r="T42" s="162"/>
    </row>
    <row r="43" spans="1:20" ht="13.8" x14ac:dyDescent="0.25">
      <c r="A43" s="96">
        <v>2072</v>
      </c>
      <c r="B43" s="97" t="s">
        <v>66</v>
      </c>
      <c r="C43" s="104">
        <f>'B7 Performance corr fusions'!J43/'B7 Performance corr fusions'!C43</f>
        <v>1949.3894525887852</v>
      </c>
      <c r="D43" s="104">
        <f>'B7 Performance corr fusions'!R43/'B7 Performance corr fusions'!C43</f>
        <v>2012.7721958490743</v>
      </c>
      <c r="E43" s="143">
        <f t="shared" si="2"/>
        <v>63.382743260289089</v>
      </c>
      <c r="F43" s="147">
        <f t="shared" si="8"/>
        <v>3.2514151123633574E-2</v>
      </c>
      <c r="G43" s="175">
        <f>'[2]T1  PF2011'!P43</f>
        <v>71.270389311716073</v>
      </c>
      <c r="H43" s="157">
        <f t="shared" si="9"/>
        <v>2.4688650075670999</v>
      </c>
      <c r="I43" s="159">
        <f>'B7 Performance corr fusions'!L43/'B7 Performance corr fusions'!D43</f>
        <v>1574.6783238506796</v>
      </c>
      <c r="J43" s="98">
        <f>'B7 Performance corr fusions'!S43/'B7 Performance corr fusions'!D43</f>
        <v>1598.3155961848374</v>
      </c>
      <c r="K43" s="149">
        <f t="shared" si="3"/>
        <v>23.637272334157842</v>
      </c>
      <c r="L43" s="152">
        <f t="shared" si="4"/>
        <v>1.5010857758145701E-2</v>
      </c>
      <c r="M43" s="347">
        <f>'[3]T2 PF2012'!$P43</f>
        <v>75.19487861698228</v>
      </c>
      <c r="N43" s="350">
        <f t="shared" si="5"/>
        <v>0.86801614301114871</v>
      </c>
      <c r="O43" s="333">
        <f>'B7 Performance corr fusions'!N43/'B7 Performance corr fusions'!E43</f>
        <v>1561.3930247991402</v>
      </c>
      <c r="P43" s="321">
        <f>'B7 Performance corr fusions'!T43/'B7 Performance corr fusions'!E43</f>
        <v>1582.5186341020462</v>
      </c>
      <c r="Q43" s="149">
        <f t="shared" si="6"/>
        <v>21.125609302906014</v>
      </c>
      <c r="R43" s="336">
        <f t="shared" si="7"/>
        <v>1.3529975456130683E-2</v>
      </c>
      <c r="S43" s="162"/>
      <c r="T43" s="162"/>
    </row>
    <row r="44" spans="1:20" ht="13.8" x14ac:dyDescent="0.25">
      <c r="A44" s="96">
        <v>2079</v>
      </c>
      <c r="B44" s="97" t="s">
        <v>68</v>
      </c>
      <c r="C44" s="104">
        <f>'B7 Performance corr fusions'!J44/'B7 Performance corr fusions'!C44</f>
        <v>1839.5816369854499</v>
      </c>
      <c r="D44" s="104">
        <f>'B7 Performance corr fusions'!R44/'B7 Performance corr fusions'!C44</f>
        <v>1884.1705041341966</v>
      </c>
      <c r="E44" s="143">
        <f t="shared" si="2"/>
        <v>44.588867148746658</v>
      </c>
      <c r="F44" s="147">
        <f t="shared" si="8"/>
        <v>2.4238591129782695E-2</v>
      </c>
      <c r="G44" s="175">
        <f>'[2]T1  PF2011'!P44</f>
        <v>79.686920368763523</v>
      </c>
      <c r="H44" s="157">
        <f t="shared" si="9"/>
        <v>1.5533697333642353</v>
      </c>
      <c r="I44" s="159">
        <f>'B7 Performance corr fusions'!L44/'B7 Performance corr fusions'!D44</f>
        <v>1612.7881858060571</v>
      </c>
      <c r="J44" s="98">
        <f>'B7 Performance corr fusions'!S44/'B7 Performance corr fusions'!D44</f>
        <v>1638.9467507322649</v>
      </c>
      <c r="K44" s="149">
        <f t="shared" si="3"/>
        <v>26.158564926207873</v>
      </c>
      <c r="L44" s="152">
        <f t="shared" si="4"/>
        <v>1.6219467104500184E-2</v>
      </c>
      <c r="M44" s="347">
        <f>'[3]T2 PF2012'!$P44</f>
        <v>75.767021741639851</v>
      </c>
      <c r="N44" s="350">
        <f t="shared" si="5"/>
        <v>0.95335007301423236</v>
      </c>
      <c r="O44" s="333">
        <f>'B7 Performance corr fusions'!N44/'B7 Performance corr fusions'!E44</f>
        <v>1614.2066844198173</v>
      </c>
      <c r="P44" s="321">
        <f>'B7 Performance corr fusions'!T44/'B7 Performance corr fusions'!E44</f>
        <v>1639.5710722760896</v>
      </c>
      <c r="Q44" s="149">
        <f t="shared" si="6"/>
        <v>25.364387856272288</v>
      </c>
      <c r="R44" s="336">
        <f t="shared" si="7"/>
        <v>1.5713221919526885E-2</v>
      </c>
      <c r="S44" s="162"/>
      <c r="T44" s="162"/>
    </row>
    <row r="45" spans="1:20" ht="13.8" x14ac:dyDescent="0.25">
      <c r="A45" s="96">
        <v>2086</v>
      </c>
      <c r="B45" s="97" t="s">
        <v>70</v>
      </c>
      <c r="C45" s="104">
        <f>'B7 Performance corr fusions'!J45/'B7 Performance corr fusions'!C45</f>
        <v>1947.155490768999</v>
      </c>
      <c r="D45" s="104">
        <f>'B7 Performance corr fusions'!R45/'B7 Performance corr fusions'!C45</f>
        <v>2013.4428462947631</v>
      </c>
      <c r="E45" s="143">
        <f t="shared" si="2"/>
        <v>66.287355525764042</v>
      </c>
      <c r="F45" s="147">
        <f t="shared" si="8"/>
        <v>3.4043175206097627E-2</v>
      </c>
      <c r="G45" s="175">
        <f>'[2]T1  PF2011'!P45</f>
        <v>61.257545165198557</v>
      </c>
      <c r="H45" s="157">
        <f t="shared" si="9"/>
        <v>3.0040457893797035</v>
      </c>
      <c r="I45" s="159">
        <f>'B7 Performance corr fusions'!L45/'B7 Performance corr fusions'!D45</f>
        <v>1519.8071800167791</v>
      </c>
      <c r="J45" s="98">
        <f>'B7 Performance corr fusions'!S45/'B7 Performance corr fusions'!D45</f>
        <v>1541.4862111566063</v>
      </c>
      <c r="K45" s="149">
        <f t="shared" si="3"/>
        <v>21.679031139827202</v>
      </c>
      <c r="L45" s="152">
        <f t="shared" si="4"/>
        <v>1.4264329991905855E-2</v>
      </c>
      <c r="M45" s="347">
        <f>'[3]T2 PF2012'!$P45</f>
        <v>57.302924189812984</v>
      </c>
      <c r="N45" s="350">
        <f t="shared" si="5"/>
        <v>1.0446764155245611</v>
      </c>
      <c r="O45" s="333">
        <f>'B7 Performance corr fusions'!N45/'B7 Performance corr fusions'!E45</f>
        <v>1560.8577512219038</v>
      </c>
      <c r="P45" s="321">
        <f>'B7 Performance corr fusions'!T45/'B7 Performance corr fusions'!E45</f>
        <v>1581.3873541295859</v>
      </c>
      <c r="Q45" s="149">
        <f t="shared" si="6"/>
        <v>20.529602907682147</v>
      </c>
      <c r="R45" s="336">
        <f t="shared" si="7"/>
        <v>1.3152769937946444E-2</v>
      </c>
      <c r="S45" s="162"/>
      <c r="T45" s="162"/>
    </row>
    <row r="46" spans="1:20" ht="13.8" x14ac:dyDescent="0.25">
      <c r="A46" s="96">
        <v>2087</v>
      </c>
      <c r="B46" s="97" t="s">
        <v>72</v>
      </c>
      <c r="C46" s="104">
        <f>'B7 Performance corr fusions'!J46/'B7 Performance corr fusions'!C46</f>
        <v>1878.0745175725349</v>
      </c>
      <c r="D46" s="104">
        <f>'B7 Performance corr fusions'!R46/'B7 Performance corr fusions'!C46</f>
        <v>1933.7573400429912</v>
      </c>
      <c r="E46" s="143">
        <f t="shared" si="2"/>
        <v>55.682822470456358</v>
      </c>
      <c r="F46" s="147">
        <f t="shared" si="8"/>
        <v>2.9648888768496792E-2</v>
      </c>
      <c r="G46" s="175">
        <f>'[2]T1  PF2011'!P46</f>
        <v>61.152066357892352</v>
      </c>
      <c r="H46" s="157">
        <f t="shared" si="9"/>
        <v>2.5278165194525219</v>
      </c>
      <c r="I46" s="159">
        <f>'B7 Performance corr fusions'!L46/'B7 Performance corr fusions'!D46</f>
        <v>1745.2905299194308</v>
      </c>
      <c r="J46" s="98">
        <f>'B7 Performance corr fusions'!S46/'B7 Performance corr fusions'!D46</f>
        <v>1783.9015789403252</v>
      </c>
      <c r="K46" s="149">
        <f t="shared" si="3"/>
        <v>38.61104902089437</v>
      </c>
      <c r="L46" s="152">
        <f t="shared" si="4"/>
        <v>2.2122992337944333E-2</v>
      </c>
      <c r="M46" s="347">
        <f>'[3]T2 PF2012'!$P46</f>
        <v>62.786976564563609</v>
      </c>
      <c r="N46" s="350">
        <f t="shared" si="5"/>
        <v>1.6980901245260944</v>
      </c>
      <c r="O46" s="333">
        <f>'B7 Performance corr fusions'!N46/'B7 Performance corr fusions'!E46</f>
        <v>1774.9671821165409</v>
      </c>
      <c r="P46" s="321">
        <f>'B7 Performance corr fusions'!T46/'B7 Performance corr fusions'!E46</f>
        <v>1814.3013867358111</v>
      </c>
      <c r="Q46" s="149">
        <f t="shared" si="6"/>
        <v>39.334204619270167</v>
      </c>
      <c r="R46" s="336">
        <f t="shared" si="7"/>
        <v>2.2160525003265982E-2</v>
      </c>
      <c r="S46" s="162"/>
      <c r="T46" s="162"/>
    </row>
    <row r="47" spans="1:20" ht="13.8" x14ac:dyDescent="0.25">
      <c r="A47" s="96">
        <v>2089</v>
      </c>
      <c r="B47" s="97" t="s">
        <v>74</v>
      </c>
      <c r="C47" s="104">
        <f>'B7 Performance corr fusions'!J47/'B7 Performance corr fusions'!C47</f>
        <v>1258.2360341903284</v>
      </c>
      <c r="D47" s="104">
        <f>'B7 Performance corr fusions'!R47/'B7 Performance corr fusions'!C47</f>
        <v>1270.2630454968819</v>
      </c>
      <c r="E47" s="143">
        <f t="shared" si="2"/>
        <v>12.027011306553504</v>
      </c>
      <c r="F47" s="147">
        <f t="shared" si="8"/>
        <v>9.5586288897637987E-3</v>
      </c>
      <c r="G47" s="175">
        <f>'[2]T1  PF2011'!P47</f>
        <v>84.757583925265877</v>
      </c>
      <c r="H47" s="157">
        <f t="shared" si="9"/>
        <v>0.39392595302573097</v>
      </c>
      <c r="I47" s="159">
        <f>'B7 Performance corr fusions'!L47/'B7 Performance corr fusions'!D47</f>
        <v>1783.2239573287188</v>
      </c>
      <c r="J47" s="98">
        <f>'B7 Performance corr fusions'!S47/'B7 Performance corr fusions'!D47</f>
        <v>1825.197561412632</v>
      </c>
      <c r="K47" s="149">
        <f t="shared" si="3"/>
        <v>41.973604083913187</v>
      </c>
      <c r="L47" s="152">
        <f t="shared" si="4"/>
        <v>2.3538044064184693E-2</v>
      </c>
      <c r="M47" s="347">
        <f>'[3]T2 PF2012'!$P47</f>
        <v>87.088392294937719</v>
      </c>
      <c r="N47" s="350">
        <f t="shared" si="5"/>
        <v>1.3308671156557454</v>
      </c>
      <c r="O47" s="333">
        <f>'B7 Performance corr fusions'!N47/'B7 Performance corr fusions'!E47</f>
        <v>1813.3284551518295</v>
      </c>
      <c r="P47" s="321">
        <f>'B7 Performance corr fusions'!T47/'B7 Performance corr fusions'!E47</f>
        <v>1851.187861832045</v>
      </c>
      <c r="Q47" s="149">
        <f t="shared" si="6"/>
        <v>37.859406680215443</v>
      </c>
      <c r="R47" s="336">
        <f t="shared" si="7"/>
        <v>2.0878405438713245E-2</v>
      </c>
      <c r="S47" s="162"/>
      <c r="T47" s="162"/>
    </row>
    <row r="48" spans="1:20" ht="13.8" x14ac:dyDescent="0.25">
      <c r="A48" s="96">
        <v>2096</v>
      </c>
      <c r="B48" s="97" t="s">
        <v>76</v>
      </c>
      <c r="C48" s="104">
        <f>'B7 Performance corr fusions'!J48/'B7 Performance corr fusions'!C48</f>
        <v>1801.4324428321788</v>
      </c>
      <c r="D48" s="104">
        <f>'B7 Performance corr fusions'!R48/'B7 Performance corr fusions'!C48</f>
        <v>1847.2461176753404</v>
      </c>
      <c r="E48" s="143">
        <f t="shared" si="2"/>
        <v>45.813674843161607</v>
      </c>
      <c r="F48" s="147">
        <f t="shared" si="8"/>
        <v>2.5431802910762611E-2</v>
      </c>
      <c r="G48" s="175">
        <f>'[2]T1  PF2011'!P48</f>
        <v>82.81895667428158</v>
      </c>
      <c r="H48" s="157">
        <f t="shared" si="9"/>
        <v>1.5356803156523631</v>
      </c>
      <c r="I48" s="159">
        <f>'B7 Performance corr fusions'!L48/'B7 Performance corr fusions'!D48</f>
        <v>1899.6707577479292</v>
      </c>
      <c r="J48" s="98">
        <f>'B7 Performance corr fusions'!S48/'B7 Performance corr fusions'!D48</f>
        <v>1951.187357530184</v>
      </c>
      <c r="K48" s="149">
        <f t="shared" si="3"/>
        <v>51.516599782254843</v>
      </c>
      <c r="L48" s="152">
        <f t="shared" si="4"/>
        <v>2.7118699159915518E-2</v>
      </c>
      <c r="M48" s="347">
        <f>'[3]T2 PF2012'!$P48</f>
        <v>84.595504707575358</v>
      </c>
      <c r="N48" s="350">
        <f t="shared" si="5"/>
        <v>1.6815841716862356</v>
      </c>
      <c r="O48" s="333">
        <f>'B7 Performance corr fusions'!N48/'B7 Performance corr fusions'!E48</f>
        <v>1905.0386613850326</v>
      </c>
      <c r="P48" s="321">
        <f>'B7 Performance corr fusions'!T48/'B7 Performance corr fusions'!E48</f>
        <v>1953.2051652048469</v>
      </c>
      <c r="Q48" s="149">
        <f t="shared" si="6"/>
        <v>48.166503819814352</v>
      </c>
      <c r="R48" s="336">
        <f t="shared" si="7"/>
        <v>2.5283740847965547E-2</v>
      </c>
      <c r="S48" s="162"/>
      <c r="T48" s="162"/>
    </row>
    <row r="49" spans="1:20" ht="13.8" x14ac:dyDescent="0.25">
      <c r="A49" s="96">
        <v>2097</v>
      </c>
      <c r="B49" s="97" t="s">
        <v>78</v>
      </c>
      <c r="C49" s="104">
        <f>'B7 Performance corr fusions'!J49/'B7 Performance corr fusions'!C49</f>
        <v>1602.9535273050235</v>
      </c>
      <c r="D49" s="104">
        <f>'B7 Performance corr fusions'!R49/'B7 Performance corr fusions'!C49</f>
        <v>1631.6806630154035</v>
      </c>
      <c r="E49" s="143">
        <f t="shared" si="2"/>
        <v>28.727135710380026</v>
      </c>
      <c r="F49" s="147">
        <f t="shared" si="8"/>
        <v>1.7921377769870669E-2</v>
      </c>
      <c r="G49" s="175">
        <f>'[2]T1  PF2011'!P49</f>
        <v>72.29186384610253</v>
      </c>
      <c r="H49" s="157">
        <f t="shared" si="9"/>
        <v>1.1031595971068395</v>
      </c>
      <c r="I49" s="159">
        <f>'B7 Performance corr fusions'!L49/'B7 Performance corr fusions'!D49</f>
        <v>1696.4181606525808</v>
      </c>
      <c r="J49" s="98">
        <f>'B7 Performance corr fusions'!S49/'B7 Performance corr fusions'!D49</f>
        <v>1727.8297126619843</v>
      </c>
      <c r="K49" s="149">
        <f t="shared" si="3"/>
        <v>31.411552009403522</v>
      </c>
      <c r="L49" s="152">
        <f t="shared" si="4"/>
        <v>1.8516396922631431E-2</v>
      </c>
      <c r="M49" s="347">
        <f>'[3]T2 PF2012'!$P49</f>
        <v>77.248114545623181</v>
      </c>
      <c r="N49" s="350">
        <f t="shared" si="5"/>
        <v>1.122846042519267</v>
      </c>
      <c r="O49" s="333">
        <f>'B7 Performance corr fusions'!N49/'B7 Performance corr fusions'!E49</f>
        <v>1719.4771546096808</v>
      </c>
      <c r="P49" s="321">
        <f>'B7 Performance corr fusions'!T49/'B7 Performance corr fusions'!E49</f>
        <v>1750.4742855251286</v>
      </c>
      <c r="Q49" s="149">
        <f t="shared" si="6"/>
        <v>30.997130915447769</v>
      </c>
      <c r="R49" s="336">
        <f t="shared" si="7"/>
        <v>1.8027067607353051E-2</v>
      </c>
      <c r="S49" s="162"/>
      <c r="T49" s="162"/>
    </row>
    <row r="50" spans="1:20" ht="13.8" x14ac:dyDescent="0.25">
      <c r="A50" s="96">
        <v>2099</v>
      </c>
      <c r="B50" s="97" t="s">
        <v>80</v>
      </c>
      <c r="C50" s="104">
        <f>'B7 Performance corr fusions'!J50/'B7 Performance corr fusions'!C50</f>
        <v>1929.4556394276167</v>
      </c>
      <c r="D50" s="104">
        <f>'B7 Performance corr fusions'!R50/'B7 Performance corr fusions'!C50</f>
        <v>1990.8289820086839</v>
      </c>
      <c r="E50" s="143">
        <f t="shared" si="2"/>
        <v>61.373342581067163</v>
      </c>
      <c r="F50" s="147">
        <f t="shared" si="8"/>
        <v>3.1808631059936622E-2</v>
      </c>
      <c r="G50" s="175">
        <f>'[2]T1  PF2011'!P50</f>
        <v>363.15860892464195</v>
      </c>
      <c r="H50" s="157">
        <f t="shared" si="9"/>
        <v>0.46915773026311558</v>
      </c>
      <c r="I50" s="159">
        <f>'B7 Performance corr fusions'!L50/'B7 Performance corr fusions'!D50</f>
        <v>1723.059777112127</v>
      </c>
      <c r="J50" s="98">
        <f>'B7 Performance corr fusions'!S50/'B7 Performance corr fusions'!D50</f>
        <v>1758.5354148303718</v>
      </c>
      <c r="K50" s="149">
        <f t="shared" si="3"/>
        <v>35.475637718244798</v>
      </c>
      <c r="L50" s="152">
        <f t="shared" si="4"/>
        <v>2.0588744621328505E-2</v>
      </c>
      <c r="M50" s="347">
        <f>'[3]T2 PF2012'!$P50</f>
        <v>287.0963525612064</v>
      </c>
      <c r="N50" s="350">
        <f t="shared" si="5"/>
        <v>0.34120960026605107</v>
      </c>
      <c r="O50" s="333">
        <f>'B7 Performance corr fusions'!N50/'B7 Performance corr fusions'!E50</f>
        <v>1738.5685788644523</v>
      </c>
      <c r="P50" s="321">
        <f>'B7 Performance corr fusions'!T50/'B7 Performance corr fusions'!E50</f>
        <v>1773.3622082280499</v>
      </c>
      <c r="Q50" s="149">
        <f t="shared" si="6"/>
        <v>34.793629363597574</v>
      </c>
      <c r="R50" s="336">
        <f t="shared" si="7"/>
        <v>2.0012802363150419E-2</v>
      </c>
      <c r="S50" s="162"/>
      <c r="T50" s="162"/>
    </row>
    <row r="51" spans="1:20" s="107" customFormat="1" ht="13.8" x14ac:dyDescent="0.25">
      <c r="A51" s="108">
        <v>2102</v>
      </c>
      <c r="B51" s="109" t="s">
        <v>83</v>
      </c>
      <c r="C51" s="227">
        <f>'B7 Performance corr fusions'!J51/'B7 Performance corr fusions'!C51</f>
        <v>1749.7076345432838</v>
      </c>
      <c r="D51" s="227">
        <f>'B7 Performance corr fusions'!R51/'B7 Performance corr fusions'!C51</f>
        <v>1790.499920601942</v>
      </c>
      <c r="E51" s="228">
        <f t="shared" si="2"/>
        <v>40.792286058658192</v>
      </c>
      <c r="F51" s="225">
        <f t="shared" si="8"/>
        <v>2.3313772685975603E-2</v>
      </c>
      <c r="G51" s="229">
        <f>'[2]T1  PF2011'!P51</f>
        <v>76.482043685824763</v>
      </c>
      <c r="H51" s="230">
        <f t="shared" si="9"/>
        <v>1.4806554301771826</v>
      </c>
      <c r="I51" s="231">
        <f>'B7 Performance corr fusions'!L51/'B7 Performance corr fusions'!D51</f>
        <v>1878.1457431249839</v>
      </c>
      <c r="J51" s="227">
        <f>'B7 Performance corr fusions'!S51/'B7 Performance corr fusions'!D51</f>
        <v>1927.1439878686042</v>
      </c>
      <c r="K51" s="229">
        <f t="shared" si="3"/>
        <v>48.998244743620262</v>
      </c>
      <c r="L51" s="225">
        <f t="shared" si="4"/>
        <v>2.6088627532224268E-2</v>
      </c>
      <c r="M51" s="347">
        <f>'[3]T2 PF2012'!$P51</f>
        <v>75.469844557991266</v>
      </c>
      <c r="N51" s="350">
        <f t="shared" si="5"/>
        <v>1.7927749403496502</v>
      </c>
      <c r="O51" s="334">
        <f>'B7 Performance corr fusions'!N51/'B7 Performance corr fusions'!E51</f>
        <v>1916.2794065070009</v>
      </c>
      <c r="P51" s="227">
        <f>'B7 Performance corr fusions'!T51/'B7 Performance corr fusions'!E51</f>
        <v>1964.8958323590666</v>
      </c>
      <c r="Q51" s="229">
        <f t="shared" si="6"/>
        <v>48.616425852065731</v>
      </c>
      <c r="R51" s="336">
        <f t="shared" si="7"/>
        <v>2.5370217770426223E-2</v>
      </c>
      <c r="S51" s="226"/>
      <c r="T51" s="226"/>
    </row>
    <row r="52" spans="1:20" ht="13.8" x14ac:dyDescent="0.25">
      <c r="A52" s="96">
        <v>2111</v>
      </c>
      <c r="B52" s="97" t="s">
        <v>85</v>
      </c>
      <c r="C52" s="104">
        <f>'B7 Performance corr fusions'!J52/'B7 Performance corr fusions'!C52</f>
        <v>1886.1511487671464</v>
      </c>
      <c r="D52" s="104">
        <f>'B7 Performance corr fusions'!R52/'B7 Performance corr fusions'!C52</f>
        <v>1938.8130899640753</v>
      </c>
      <c r="E52" s="143">
        <f t="shared" si="2"/>
        <v>52.661941196928865</v>
      </c>
      <c r="F52" s="147">
        <f t="shared" si="8"/>
        <v>2.7920318703700139E-2</v>
      </c>
      <c r="G52" s="175">
        <f>'[2]T1  PF2011'!P52</f>
        <v>100.24985568129232</v>
      </c>
      <c r="H52" s="157">
        <f t="shared" si="9"/>
        <v>1.4583056257462785</v>
      </c>
      <c r="I52" s="159">
        <f>'B7 Performance corr fusions'!L52/'B7 Performance corr fusions'!D52</f>
        <v>1756.4059063230827</v>
      </c>
      <c r="J52" s="98">
        <f>'B7 Performance corr fusions'!S52/'B7 Performance corr fusions'!D52</f>
        <v>1792.3408599657105</v>
      </c>
      <c r="K52" s="149">
        <f t="shared" si="3"/>
        <v>35.934953642627761</v>
      </c>
      <c r="L52" s="152">
        <f t="shared" si="4"/>
        <v>2.0459367343995765E-2</v>
      </c>
      <c r="M52" s="347">
        <f>'[3]T2 PF2012'!$P52</f>
        <v>74.421559644817251</v>
      </c>
      <c r="N52" s="350">
        <f t="shared" si="5"/>
        <v>1.3333280861426318</v>
      </c>
      <c r="O52" s="333">
        <f>'B7 Performance corr fusions'!N52/'B7 Performance corr fusions'!E52</f>
        <v>1788.5274460732012</v>
      </c>
      <c r="P52" s="321">
        <f>'B7 Performance corr fusions'!T52/'B7 Performance corr fusions'!E52</f>
        <v>1823.3795014943471</v>
      </c>
      <c r="Q52" s="149">
        <f t="shared" si="6"/>
        <v>34.852055421145906</v>
      </c>
      <c r="R52" s="336">
        <f t="shared" si="7"/>
        <v>1.9486452666781985E-2</v>
      </c>
      <c r="S52" s="162"/>
      <c r="T52" s="162"/>
    </row>
    <row r="53" spans="1:20" ht="13.8" x14ac:dyDescent="0.25">
      <c r="A53" s="96">
        <v>2113</v>
      </c>
      <c r="B53" s="97" t="s">
        <v>89</v>
      </c>
      <c r="C53" s="104">
        <f>'B7 Performance corr fusions'!J53/'B7 Performance corr fusions'!C53</f>
        <v>1835.1137133458783</v>
      </c>
      <c r="D53" s="104">
        <f>'B7 Performance corr fusions'!R53/'B7 Performance corr fusions'!C53</f>
        <v>1885.2509774340804</v>
      </c>
      <c r="E53" s="143">
        <f t="shared" si="2"/>
        <v>50.137264088202073</v>
      </c>
      <c r="F53" s="147">
        <f t="shared" si="8"/>
        <v>2.7321066658473774E-2</v>
      </c>
      <c r="G53" s="175">
        <f>'[2]T1  PF2011'!P53</f>
        <v>68.64719630685444</v>
      </c>
      <c r="H53" s="157">
        <f t="shared" si="9"/>
        <v>2.0275579257776051</v>
      </c>
      <c r="I53" s="159">
        <f>'B7 Performance corr fusions'!L53/'B7 Performance corr fusions'!D53</f>
        <v>1838.2715357087091</v>
      </c>
      <c r="J53" s="98">
        <f>'B7 Performance corr fusions'!S53/'B7 Performance corr fusions'!D53</f>
        <v>1882.2667026630022</v>
      </c>
      <c r="K53" s="149">
        <f t="shared" si="3"/>
        <v>43.995166954293154</v>
      </c>
      <c r="L53" s="152">
        <f t="shared" si="4"/>
        <v>2.3932898975847817E-2</v>
      </c>
      <c r="M53" s="347">
        <f>'[3]T2 PF2012'!$P53</f>
        <v>67.7635095213478</v>
      </c>
      <c r="N53" s="350">
        <f t="shared" si="5"/>
        <v>1.7927832485502806</v>
      </c>
      <c r="O53" s="333">
        <f>'B7 Performance corr fusions'!N53/'B7 Performance corr fusions'!E53</f>
        <v>1857.7561620624672</v>
      </c>
      <c r="P53" s="321">
        <f>'B7 Performance corr fusions'!T53/'B7 Performance corr fusions'!E53</f>
        <v>1902.2175867425865</v>
      </c>
      <c r="Q53" s="149">
        <f t="shared" si="6"/>
        <v>44.461424680119308</v>
      </c>
      <c r="R53" s="336">
        <f t="shared" si="7"/>
        <v>2.3932863520021143E-2</v>
      </c>
      <c r="S53" s="162"/>
      <c r="T53" s="162"/>
    </row>
    <row r="54" spans="1:20" ht="13.8" x14ac:dyDescent="0.25">
      <c r="A54" s="96">
        <v>2114</v>
      </c>
      <c r="B54" s="97" t="s">
        <v>90</v>
      </c>
      <c r="C54" s="104">
        <f>'B7 Performance corr fusions'!J54/'B7 Performance corr fusions'!C54</f>
        <v>1741.2873169148593</v>
      </c>
      <c r="D54" s="104">
        <f>'B7 Performance corr fusions'!R54/'B7 Performance corr fusions'!C54</f>
        <v>1782.330151635545</v>
      </c>
      <c r="E54" s="143">
        <f t="shared" si="2"/>
        <v>41.042834720685732</v>
      </c>
      <c r="F54" s="147">
        <f t="shared" si="8"/>
        <v>2.3570397786738449E-2</v>
      </c>
      <c r="G54" s="175">
        <f>'[2]T1  PF2011'!P54</f>
        <v>63.962519780791069</v>
      </c>
      <c r="H54" s="157">
        <f t="shared" si="9"/>
        <v>1.781341672684321</v>
      </c>
      <c r="I54" s="159">
        <f>'B7 Performance corr fusions'!L54/'B7 Performance corr fusions'!D54</f>
        <v>1752.3479117630193</v>
      </c>
      <c r="J54" s="98">
        <f>'B7 Performance corr fusions'!S54/'B7 Performance corr fusions'!D54</f>
        <v>1790.2031605748243</v>
      </c>
      <c r="K54" s="149">
        <f t="shared" si="3"/>
        <v>37.855248811805041</v>
      </c>
      <c r="L54" s="152">
        <f t="shared" si="4"/>
        <v>2.1602587338788941E-2</v>
      </c>
      <c r="M54" s="347">
        <f>'[3]T2 PF2012'!$P54</f>
        <v>65.984055370413728</v>
      </c>
      <c r="N54" s="350">
        <f t="shared" si="5"/>
        <v>1.584184672781271</v>
      </c>
      <c r="O54" s="333">
        <f>'B7 Performance corr fusions'!N54/'B7 Performance corr fusions'!E54</f>
        <v>1785.1373800840361</v>
      </c>
      <c r="P54" s="321">
        <f>'B7 Performance corr fusions'!T54/'B7 Performance corr fusions'!E54</f>
        <v>1824.426221709464</v>
      </c>
      <c r="Q54" s="149">
        <f t="shared" si="6"/>
        <v>39.288841625427949</v>
      </c>
      <c r="R54" s="336">
        <f t="shared" si="7"/>
        <v>2.2008861650512527E-2</v>
      </c>
      <c r="S54" s="162"/>
      <c r="T54" s="162"/>
    </row>
    <row r="55" spans="1:20" ht="13.8" x14ac:dyDescent="0.25">
      <c r="A55" s="96">
        <v>2115</v>
      </c>
      <c r="B55" s="97" t="s">
        <v>81</v>
      </c>
      <c r="C55" s="104">
        <f>'B7 Performance corr fusions'!J55/'B7 Performance corr fusions'!C55</f>
        <v>1556.3840155233272</v>
      </c>
      <c r="D55" s="104">
        <f>'B7 Performance corr fusions'!R55/'B7 Performance corr fusions'!C55</f>
        <v>1582.1986427787228</v>
      </c>
      <c r="E55" s="143">
        <f t="shared" si="2"/>
        <v>25.814627255395635</v>
      </c>
      <c r="F55" s="147">
        <f t="shared" si="8"/>
        <v>1.6586283974855384E-2</v>
      </c>
      <c r="G55" s="175">
        <f>'[2]T1  PF2011'!P55</f>
        <v>73.80332543745287</v>
      </c>
      <c r="H55" s="157">
        <f t="shared" si="9"/>
        <v>0.97101373098298238</v>
      </c>
      <c r="I55" s="159">
        <f>'B7 Performance corr fusions'!L55/'B7 Performance corr fusions'!D55</f>
        <v>1709.2978825171297</v>
      </c>
      <c r="J55" s="98">
        <f>'B7 Performance corr fusions'!S55/'B7 Performance corr fusions'!D55</f>
        <v>1743.085728606163</v>
      </c>
      <c r="K55" s="149">
        <f t="shared" si="3"/>
        <v>33.787846089033337</v>
      </c>
      <c r="L55" s="152">
        <f t="shared" si="4"/>
        <v>1.9767090590012904E-2</v>
      </c>
      <c r="M55" s="347">
        <f>'[3]T2 PF2012'!$P55</f>
        <v>77.588391452916326</v>
      </c>
      <c r="N55" s="350">
        <f t="shared" si="5"/>
        <v>1.2024927447858973</v>
      </c>
      <c r="O55" s="333">
        <f>'B7 Performance corr fusions'!N55/'B7 Performance corr fusions'!E55</f>
        <v>1735.0000883495416</v>
      </c>
      <c r="P55" s="321">
        <f>'B7 Performance corr fusions'!T55/'B7 Performance corr fusions'!E55</f>
        <v>1768.369603636311</v>
      </c>
      <c r="Q55" s="149">
        <f t="shared" si="6"/>
        <v>33.369515286769456</v>
      </c>
      <c r="R55" s="336">
        <f t="shared" si="7"/>
        <v>1.9233149041803777E-2</v>
      </c>
      <c r="S55" s="162"/>
      <c r="T55" s="162"/>
    </row>
    <row r="56" spans="1:20" ht="13.8" x14ac:dyDescent="0.25">
      <c r="A56" s="96">
        <v>2116</v>
      </c>
      <c r="B56" s="97" t="s">
        <v>307</v>
      </c>
      <c r="C56" s="104">
        <f>'B7 Performance corr fusions'!J56/'B7 Performance corr fusions'!C56</f>
        <v>1819.819667041188</v>
      </c>
      <c r="D56" s="104">
        <f>'B7 Performance corr fusions'!R56/'B7 Performance corr fusions'!C56</f>
        <v>1869.0183222556948</v>
      </c>
      <c r="E56" s="143">
        <f t="shared" si="2"/>
        <v>49.198655214506744</v>
      </c>
      <c r="F56" s="147">
        <f t="shared" si="8"/>
        <v>2.7034906867721652E-2</v>
      </c>
      <c r="G56" s="175">
        <f>'[2]T1  PF2011'!P56</f>
        <v>73.494120793454925</v>
      </c>
      <c r="H56" s="157">
        <f t="shared" si="9"/>
        <v>1.8583866486392053</v>
      </c>
      <c r="I56" s="159">
        <f>'B7 Performance corr fusions'!L56/'B7 Performance corr fusions'!D56</f>
        <v>1603.4371548633023</v>
      </c>
      <c r="J56" s="98">
        <f>'B7 Performance corr fusions'!S56/'B7 Performance corr fusions'!D56</f>
        <v>1630.2293216105384</v>
      </c>
      <c r="K56" s="149">
        <f t="shared" si="3"/>
        <v>26.792166747236024</v>
      </c>
      <c r="L56" s="152">
        <f t="shared" si="4"/>
        <v>1.6709209129883319E-2</v>
      </c>
      <c r="M56" s="347">
        <f>'[3]T2 PF2012'!$P56</f>
        <v>69.580130473662805</v>
      </c>
      <c r="N56" s="350">
        <f t="shared" si="5"/>
        <v>1.0632644766797272</v>
      </c>
      <c r="O56" s="333">
        <f>'B7 Performance corr fusions'!N56/'B7 Performance corr fusions'!E56</f>
        <v>1643.2898821163387</v>
      </c>
      <c r="P56" s="321">
        <f>'B7 Performance corr fusions'!T56/'B7 Performance corr fusions'!E56</f>
        <v>1670.3622435136569</v>
      </c>
      <c r="Q56" s="149">
        <f t="shared" si="6"/>
        <v>27.072361397318218</v>
      </c>
      <c r="R56" s="336">
        <f t="shared" si="7"/>
        <v>1.6474489188999703E-2</v>
      </c>
      <c r="S56" s="162"/>
      <c r="T56" s="162"/>
    </row>
    <row r="57" spans="1:20" ht="13.8" x14ac:dyDescent="0.25">
      <c r="A57" s="96">
        <v>2121</v>
      </c>
      <c r="B57" s="97" t="s">
        <v>92</v>
      </c>
      <c r="C57" s="104">
        <f>'B7 Performance corr fusions'!J57/'B7 Performance corr fusions'!C57</f>
        <v>1675.9868944903408</v>
      </c>
      <c r="D57" s="104">
        <f>'B7 Performance corr fusions'!R57/'B7 Performance corr fusions'!C57</f>
        <v>1712.6550128720944</v>
      </c>
      <c r="E57" s="143">
        <f t="shared" si="2"/>
        <v>36.668118381753629</v>
      </c>
      <c r="F57" s="147">
        <f t="shared" si="8"/>
        <v>2.1878523335890535E-2</v>
      </c>
      <c r="G57" s="175">
        <f>'[2]T1  PF2011'!P57</f>
        <v>67.003088444456083</v>
      </c>
      <c r="H57" s="157">
        <f t="shared" si="9"/>
        <v>1.5192500058767215</v>
      </c>
      <c r="I57" s="159">
        <f>'B7 Performance corr fusions'!L57/'B7 Performance corr fusions'!D57</f>
        <v>1538.1563728101094</v>
      </c>
      <c r="J57" s="98">
        <f>'B7 Performance corr fusions'!S57/'B7 Performance corr fusions'!D57</f>
        <v>1561.3727216839131</v>
      </c>
      <c r="K57" s="149">
        <f t="shared" si="3"/>
        <v>23.216348873803781</v>
      </c>
      <c r="L57" s="152">
        <f t="shared" si="4"/>
        <v>1.5093620703458814E-2</v>
      </c>
      <c r="M57" s="347">
        <f>'[3]T2 PF2012'!$P57</f>
        <v>67.465363220068213</v>
      </c>
      <c r="N57" s="350">
        <f t="shared" si="5"/>
        <v>0.95023662242020479</v>
      </c>
      <c r="O57" s="333">
        <f>'B7 Performance corr fusions'!N57/'B7 Performance corr fusions'!E57</f>
        <v>1566.3889115200152</v>
      </c>
      <c r="P57" s="321">
        <f>'B7 Performance corr fusions'!T57/'B7 Performance corr fusions'!E57</f>
        <v>1589.5403344966851</v>
      </c>
      <c r="Q57" s="149">
        <f t="shared" si="6"/>
        <v>23.151422976669892</v>
      </c>
      <c r="R57" s="336">
        <f t="shared" si="7"/>
        <v>1.4780124403590089E-2</v>
      </c>
      <c r="S57" s="162"/>
      <c r="T57" s="162"/>
    </row>
    <row r="58" spans="1:20" ht="13.8" x14ac:dyDescent="0.25">
      <c r="A58" s="96">
        <v>2122</v>
      </c>
      <c r="B58" s="97" t="s">
        <v>93</v>
      </c>
      <c r="C58" s="104">
        <f>'B7 Performance corr fusions'!J58/'B7 Performance corr fusions'!C58</f>
        <v>1475.961390011026</v>
      </c>
      <c r="D58" s="104">
        <f>'B7 Performance corr fusions'!R58/'B7 Performance corr fusions'!C58</f>
        <v>1497.4000051634118</v>
      </c>
      <c r="E58" s="143">
        <f t="shared" si="2"/>
        <v>21.438615152385864</v>
      </c>
      <c r="F58" s="147">
        <f t="shared" si="8"/>
        <v>1.4525186971337855E-2</v>
      </c>
      <c r="G58" s="175">
        <f>'[2]T1  PF2011'!P58</f>
        <v>86.838977639605687</v>
      </c>
      <c r="H58" s="157">
        <f t="shared" si="9"/>
        <v>0.68535797373273144</v>
      </c>
      <c r="I58" s="159">
        <f>'B7 Performance corr fusions'!L58/'B7 Performance corr fusions'!D58</f>
        <v>1797.6915901080754</v>
      </c>
      <c r="J58" s="98">
        <f>'B7 Performance corr fusions'!S58/'B7 Performance corr fusions'!D58</f>
        <v>1839.6079301696486</v>
      </c>
      <c r="K58" s="149">
        <f t="shared" si="3"/>
        <v>41.916340061573237</v>
      </c>
      <c r="L58" s="152">
        <f t="shared" si="4"/>
        <v>2.3316758164871467E-2</v>
      </c>
      <c r="M58" s="347">
        <f>'[3]T2 PF2012'!$P58</f>
        <v>91.234076841401375</v>
      </c>
      <c r="N58" s="350">
        <f t="shared" si="5"/>
        <v>1.2686592166149282</v>
      </c>
      <c r="O58" s="333">
        <f>'B7 Performance corr fusions'!N58/'B7 Performance corr fusions'!E58</f>
        <v>1809.7599646369192</v>
      </c>
      <c r="P58" s="321">
        <f>'B7 Performance corr fusions'!T58/'B7 Performance corr fusions'!E58</f>
        <v>1850.0038865197457</v>
      </c>
      <c r="Q58" s="149">
        <f t="shared" si="6"/>
        <v>40.243921882826498</v>
      </c>
      <c r="R58" s="336">
        <f t="shared" si="7"/>
        <v>2.2237159993148806E-2</v>
      </c>
      <c r="S58" s="162"/>
      <c r="T58" s="162"/>
    </row>
    <row r="59" spans="1:20" ht="13.8" x14ac:dyDescent="0.25">
      <c r="A59" s="96">
        <v>2123</v>
      </c>
      <c r="B59" s="97" t="s">
        <v>95</v>
      </c>
      <c r="C59" s="104">
        <f>'B7 Performance corr fusions'!J59/'B7 Performance corr fusions'!C59</f>
        <v>1540.7462827848249</v>
      </c>
      <c r="D59" s="104">
        <f>'B7 Performance corr fusions'!R59/'B7 Performance corr fusions'!C59</f>
        <v>1565.3982696423661</v>
      </c>
      <c r="E59" s="143">
        <f t="shared" si="2"/>
        <v>24.65198685754126</v>
      </c>
      <c r="F59" s="147">
        <f t="shared" si="8"/>
        <v>1.6000030071780524E-2</v>
      </c>
      <c r="G59" s="175">
        <f>'[2]T1  PF2011'!P59</f>
        <v>72.113685459634382</v>
      </c>
      <c r="H59" s="157">
        <f t="shared" si="9"/>
        <v>0.94900757657998203</v>
      </c>
      <c r="I59" s="159">
        <f>'B7 Performance corr fusions'!L59/'B7 Performance corr fusions'!D59</f>
        <v>1662.5427278033562</v>
      </c>
      <c r="J59" s="98">
        <f>'B7 Performance corr fusions'!S59/'B7 Performance corr fusions'!D59</f>
        <v>1693.1027292745259</v>
      </c>
      <c r="K59" s="149">
        <f t="shared" si="3"/>
        <v>30.560001471169699</v>
      </c>
      <c r="L59" s="152">
        <f t="shared" si="4"/>
        <v>1.8381483350835302E-2</v>
      </c>
      <c r="M59" s="347">
        <f>'[3]T2 PF2012'!$P59</f>
        <v>74.87713910325995</v>
      </c>
      <c r="N59" s="350">
        <f t="shared" si="5"/>
        <v>1.1269971921510031</v>
      </c>
      <c r="O59" s="333">
        <f>'B7 Performance corr fusions'!N59/'B7 Performance corr fusions'!E59</f>
        <v>1710.555928322404</v>
      </c>
      <c r="P59" s="321">
        <f>'B7 Performance corr fusions'!T59/'B7 Performance corr fusions'!E59</f>
        <v>1742.3751046164803</v>
      </c>
      <c r="Q59" s="149">
        <f t="shared" si="6"/>
        <v>31.819176294076215</v>
      </c>
      <c r="R59" s="336">
        <f t="shared" si="7"/>
        <v>1.8601657956476336E-2</v>
      </c>
      <c r="S59" s="162"/>
      <c r="T59" s="162"/>
    </row>
    <row r="60" spans="1:20" ht="13.8" x14ac:dyDescent="0.25">
      <c r="A60" s="96">
        <v>2124</v>
      </c>
      <c r="B60" s="97" t="s">
        <v>97</v>
      </c>
      <c r="C60" s="104">
        <f>'B7 Performance corr fusions'!J60/'B7 Performance corr fusions'!C60</f>
        <v>1719.1195419339042</v>
      </c>
      <c r="D60" s="104">
        <f>'B7 Performance corr fusions'!R60/'B7 Performance corr fusions'!C60</f>
        <v>1758.0447497467162</v>
      </c>
      <c r="E60" s="143">
        <f t="shared" si="2"/>
        <v>38.925207812812005</v>
      </c>
      <c r="F60" s="147">
        <f t="shared" si="8"/>
        <v>2.2642525352846336E-2</v>
      </c>
      <c r="G60" s="175">
        <f>'[2]T1  PF2011'!P60</f>
        <v>76.149190679324107</v>
      </c>
      <c r="H60" s="157">
        <f t="shared" si="9"/>
        <v>1.4190610876607517</v>
      </c>
      <c r="I60" s="159">
        <f>'B7 Performance corr fusions'!L60/'B7 Performance corr fusions'!D60</f>
        <v>1826.9797247589674</v>
      </c>
      <c r="J60" s="98">
        <f>'B7 Performance corr fusions'!S60/'B7 Performance corr fusions'!D60</f>
        <v>1870.7023921454925</v>
      </c>
      <c r="K60" s="149">
        <f t="shared" si="3"/>
        <v>43.722667386525018</v>
      </c>
      <c r="L60" s="152">
        <f t="shared" si="4"/>
        <v>2.3931665356764335E-2</v>
      </c>
      <c r="M60" s="347">
        <f>'[3]T2 PF2012'!$P60</f>
        <v>77.39437023686861</v>
      </c>
      <c r="N60" s="350">
        <f t="shared" si="5"/>
        <v>1.5599690578045962</v>
      </c>
      <c r="O60" s="333">
        <f>'B7 Performance corr fusions'!N60/'B7 Performance corr fusions'!E60</f>
        <v>1859.7188318456676</v>
      </c>
      <c r="P60" s="321">
        <f>'B7 Performance corr fusions'!T60/'B7 Performance corr fusions'!E60</f>
        <v>1902.6146846148779</v>
      </c>
      <c r="Q60" s="149">
        <f t="shared" si="6"/>
        <v>42.895852769210251</v>
      </c>
      <c r="R60" s="336">
        <f t="shared" si="7"/>
        <v>2.3065773188218189E-2</v>
      </c>
      <c r="S60" s="162"/>
      <c r="T60" s="162"/>
    </row>
    <row r="61" spans="1:20" ht="13.8" x14ac:dyDescent="0.25">
      <c r="A61" s="96">
        <v>2125</v>
      </c>
      <c r="B61" s="97" t="s">
        <v>99</v>
      </c>
      <c r="C61" s="104">
        <f>'B7 Performance corr fusions'!J61/'B7 Performance corr fusions'!C61</f>
        <v>1770.6725070058924</v>
      </c>
      <c r="D61" s="104">
        <f>'B7 Performance corr fusions'!R61/'B7 Performance corr fusions'!C61</f>
        <v>1812.0839192023345</v>
      </c>
      <c r="E61" s="143">
        <f t="shared" si="2"/>
        <v>41.411412196442143</v>
      </c>
      <c r="F61" s="147">
        <f t="shared" si="8"/>
        <v>2.3387392096840376E-2</v>
      </c>
      <c r="G61" s="175">
        <f>'[2]T1  PF2011'!P61</f>
        <v>105.43913168995769</v>
      </c>
      <c r="H61" s="157">
        <f t="shared" si="9"/>
        <v>1.0903192093684364</v>
      </c>
      <c r="I61" s="159">
        <f>'B7 Performance corr fusions'!L61/'B7 Performance corr fusions'!D61</f>
        <v>1875.4992249336385</v>
      </c>
      <c r="J61" s="98">
        <f>'B7 Performance corr fusions'!S61/'B7 Performance corr fusions'!D61</f>
        <v>1923.9942213133227</v>
      </c>
      <c r="K61" s="149">
        <f t="shared" si="3"/>
        <v>48.494996379684153</v>
      </c>
      <c r="L61" s="152">
        <f t="shared" si="4"/>
        <v>2.5857113527412986E-2</v>
      </c>
      <c r="M61" s="347">
        <f>'[3]T2 PF2012'!$P61</f>
        <v>108.8678166525856</v>
      </c>
      <c r="N61" s="350">
        <f t="shared" si="5"/>
        <v>1.2300311894353173</v>
      </c>
      <c r="O61" s="333">
        <f>'B7 Performance corr fusions'!N61/'B7 Performance corr fusions'!E61</f>
        <v>1880.9513504093859</v>
      </c>
      <c r="P61" s="321">
        <f>'B7 Performance corr fusions'!T61/'B7 Performance corr fusions'!E61</f>
        <v>1927.300023831707</v>
      </c>
      <c r="Q61" s="149">
        <f t="shared" si="6"/>
        <v>46.348673422321099</v>
      </c>
      <c r="R61" s="336">
        <f t="shared" si="7"/>
        <v>2.4641080383197251E-2</v>
      </c>
      <c r="S61" s="162"/>
      <c r="T61" s="162"/>
    </row>
    <row r="62" spans="1:20" ht="13.8" x14ac:dyDescent="0.25">
      <c r="A62" s="96">
        <v>2128</v>
      </c>
      <c r="B62" s="97" t="s">
        <v>105</v>
      </c>
      <c r="C62" s="104">
        <f>'B7 Performance corr fusions'!J62/'B7 Performance corr fusions'!C62</f>
        <v>1447.7791024383391</v>
      </c>
      <c r="D62" s="104">
        <f>'B7 Performance corr fusions'!R62/'B7 Performance corr fusions'!C62</f>
        <v>1468.3085752362704</v>
      </c>
      <c r="E62" s="143">
        <f t="shared" si="2"/>
        <v>20.529472797931248</v>
      </c>
      <c r="F62" s="147">
        <f t="shared" si="8"/>
        <v>1.417997591162606E-2</v>
      </c>
      <c r="G62" s="175">
        <f>'[2]T1  PF2011'!P62</f>
        <v>100.78039694211481</v>
      </c>
      <c r="H62" s="157">
        <f t="shared" si="9"/>
        <v>0.56550594594407033</v>
      </c>
      <c r="I62" s="159">
        <f>'B7 Performance corr fusions'!L62/'B7 Performance corr fusions'!D62</f>
        <v>1601.319940310226</v>
      </c>
      <c r="J62" s="98">
        <f>'B7 Performance corr fusions'!S62/'B7 Performance corr fusions'!D62</f>
        <v>1628.5432790526918</v>
      </c>
      <c r="K62" s="149">
        <f t="shared" si="3"/>
        <v>27.223338742465785</v>
      </c>
      <c r="L62" s="152">
        <f t="shared" si="4"/>
        <v>1.7000561884711038E-2</v>
      </c>
      <c r="M62" s="347">
        <f>'[3]T2 PF2012'!$P62</f>
        <v>108.59096440746458</v>
      </c>
      <c r="N62" s="350">
        <f t="shared" si="5"/>
        <v>0.69225548067285869</v>
      </c>
      <c r="O62" s="333">
        <f>'B7 Performance corr fusions'!N62/'B7 Performance corr fusions'!E62</f>
        <v>1601.0032695146483</v>
      </c>
      <c r="P62" s="321">
        <f>'B7 Performance corr fusions'!T62/'B7 Performance corr fusions'!E62</f>
        <v>1625.9442591927134</v>
      </c>
      <c r="Q62" s="149">
        <f t="shared" si="6"/>
        <v>24.94098967806508</v>
      </c>
      <c r="R62" s="336">
        <f t="shared" si="7"/>
        <v>1.5578350246358997E-2</v>
      </c>
      <c r="S62" s="162"/>
      <c r="T62" s="162"/>
    </row>
    <row r="63" spans="1:20" ht="13.8" x14ac:dyDescent="0.25">
      <c r="A63" s="96">
        <v>2129</v>
      </c>
      <c r="B63" s="97" t="s">
        <v>107</v>
      </c>
      <c r="C63" s="104">
        <f>'B7 Performance corr fusions'!J63/'B7 Performance corr fusions'!C63</f>
        <v>1558.446134126207</v>
      </c>
      <c r="D63" s="104">
        <f>'B7 Performance corr fusions'!R63/'B7 Performance corr fusions'!C63</f>
        <v>1583.0328555482424</v>
      </c>
      <c r="E63" s="143">
        <f t="shared" si="2"/>
        <v>24.586721422035453</v>
      </c>
      <c r="F63" s="147">
        <f t="shared" si="8"/>
        <v>1.577643325851669E-2</v>
      </c>
      <c r="G63" s="175">
        <f>'[2]T1  PF2011'!P63</f>
        <v>82.257742749328315</v>
      </c>
      <c r="H63" s="157">
        <f t="shared" si="9"/>
        <v>0.82977295606140289</v>
      </c>
      <c r="I63" s="159">
        <f>'B7 Performance corr fusions'!L63/'B7 Performance corr fusions'!D63</f>
        <v>1705.2398879570662</v>
      </c>
      <c r="J63" s="98">
        <f>'B7 Performance corr fusions'!S63/'B7 Performance corr fusions'!D63</f>
        <v>1737.2692510713198</v>
      </c>
      <c r="K63" s="149">
        <f t="shared" si="3"/>
        <v>32.029363114253556</v>
      </c>
      <c r="L63" s="152">
        <f t="shared" si="4"/>
        <v>1.8782907519613437E-2</v>
      </c>
      <c r="M63" s="347">
        <f>'[3]T2 PF2012'!$P63</f>
        <v>81.587429766863593</v>
      </c>
      <c r="N63" s="350">
        <f t="shared" si="5"/>
        <v>1.0840361297121659</v>
      </c>
      <c r="O63" s="333">
        <f>'B7 Performance corr fusions'!N63/'B7 Performance corr fusions'!E63</f>
        <v>1715.9086640947698</v>
      </c>
      <c r="P63" s="321">
        <f>'B7 Performance corr fusions'!T63/'B7 Performance corr fusions'!E63</f>
        <v>1748.2244502724138</v>
      </c>
      <c r="Q63" s="149">
        <f t="shared" si="6"/>
        <v>32.315786177643986</v>
      </c>
      <c r="R63" s="336">
        <f t="shared" si="7"/>
        <v>1.8833045635731564E-2</v>
      </c>
      <c r="S63" s="162"/>
      <c r="T63" s="162"/>
    </row>
    <row r="64" spans="1:20" ht="13.8" x14ac:dyDescent="0.25">
      <c r="A64" s="96">
        <v>2130</v>
      </c>
      <c r="B64" s="97" t="s">
        <v>109</v>
      </c>
      <c r="C64" s="104">
        <f>'B7 Performance corr fusions'!J64/'B7 Performance corr fusions'!C64</f>
        <v>1221.9771154230298</v>
      </c>
      <c r="D64" s="104">
        <f>'B7 Performance corr fusions'!R64/'B7 Performance corr fusions'!C64</f>
        <v>1231.5387863239291</v>
      </c>
      <c r="E64" s="143">
        <f t="shared" si="2"/>
        <v>9.5616709008993439</v>
      </c>
      <c r="F64" s="147">
        <f t="shared" si="8"/>
        <v>7.8247544738914692E-3</v>
      </c>
      <c r="G64" s="175">
        <f>'[2]T1  PF2011'!P64</f>
        <v>217.27095981922204</v>
      </c>
      <c r="H64" s="157">
        <f t="shared" si="9"/>
        <v>0.1221708378766061</v>
      </c>
      <c r="I64" s="159">
        <f>'B7 Performance corr fusions'!L64/'B7 Performance corr fusions'!D64</f>
        <v>1192.8739661125428</v>
      </c>
      <c r="J64" s="98">
        <f>'B7 Performance corr fusions'!S64/'B7 Performance corr fusions'!D64</f>
        <v>1201.1568061889707</v>
      </c>
      <c r="K64" s="149">
        <f t="shared" si="3"/>
        <v>8.282840076427874</v>
      </c>
      <c r="L64" s="152">
        <f t="shared" si="4"/>
        <v>6.9436003397918252E-3</v>
      </c>
      <c r="M64" s="347">
        <f>'[3]T2 PF2012'!$P64</f>
        <v>222.69851487138942</v>
      </c>
      <c r="N64" s="350">
        <f t="shared" si="5"/>
        <v>0.10270241622361521</v>
      </c>
      <c r="O64" s="333">
        <f>'B7 Performance corr fusions'!N64/'B7 Performance corr fusions'!E64</f>
        <v>1207.5771902457529</v>
      </c>
      <c r="P64" s="321">
        <f>'B7 Performance corr fusions'!T64/'B7 Performance corr fusions'!E64</f>
        <v>1215.7815253927567</v>
      </c>
      <c r="Q64" s="149">
        <f t="shared" si="6"/>
        <v>8.2043351470038033</v>
      </c>
      <c r="R64" s="336">
        <f t="shared" si="7"/>
        <v>6.7940461390581137E-3</v>
      </c>
      <c r="S64" s="162"/>
      <c r="T64" s="162"/>
    </row>
    <row r="65" spans="1:20" ht="13.8" x14ac:dyDescent="0.25">
      <c r="A65" s="96">
        <v>2131</v>
      </c>
      <c r="B65" s="97" t="s">
        <v>111</v>
      </c>
      <c r="C65" s="104">
        <f>'B7 Performance corr fusions'!J65/'B7 Performance corr fusions'!C65</f>
        <v>1519.4377238884024</v>
      </c>
      <c r="D65" s="104">
        <f>'B7 Performance corr fusions'!R65/'B7 Performance corr fusions'!C65</f>
        <v>1542.6150320281442</v>
      </c>
      <c r="E65" s="143">
        <f t="shared" si="2"/>
        <v>23.177308139741854</v>
      </c>
      <c r="F65" s="147">
        <f t="shared" si="8"/>
        <v>1.5253871728568553E-2</v>
      </c>
      <c r="G65" s="175">
        <f>'[2]T1  PF2011'!P65</f>
        <v>86.52647440470443</v>
      </c>
      <c r="H65" s="157">
        <f t="shared" si="9"/>
        <v>0.74361720560555444</v>
      </c>
      <c r="I65" s="159">
        <f>'B7 Performance corr fusions'!L65/'B7 Performance corr fusions'!D65</f>
        <v>1911.31543778985</v>
      </c>
      <c r="J65" s="98">
        <f>'B7 Performance corr fusions'!S65/'B7 Performance corr fusions'!D65</f>
        <v>1963.314156568518</v>
      </c>
      <c r="K65" s="149">
        <f t="shared" si="3"/>
        <v>51.998718778668035</v>
      </c>
      <c r="L65" s="152">
        <f t="shared" si="4"/>
        <v>2.720572321583755E-2</v>
      </c>
      <c r="M65" s="347">
        <f>'[3]T2 PF2012'!$P65</f>
        <v>89.494999815670411</v>
      </c>
      <c r="N65" s="350">
        <f t="shared" si="5"/>
        <v>1.6043997191532735</v>
      </c>
      <c r="O65" s="333">
        <f>'B7 Performance corr fusions'!N65/'B7 Performance corr fusions'!E65</f>
        <v>1910.7482462088897</v>
      </c>
      <c r="P65" s="321">
        <f>'B7 Performance corr fusions'!T65/'B7 Performance corr fusions'!E65</f>
        <v>1959.8623603712331</v>
      </c>
      <c r="Q65" s="149">
        <f t="shared" si="6"/>
        <v>49.114114162343412</v>
      </c>
      <c r="R65" s="336">
        <f t="shared" si="7"/>
        <v>2.5704126255141457E-2</v>
      </c>
      <c r="S65" s="162"/>
      <c r="T65" s="162"/>
    </row>
    <row r="66" spans="1:20" ht="13.8" x14ac:dyDescent="0.25">
      <c r="A66" s="96">
        <v>2134</v>
      </c>
      <c r="B66" s="97" t="s">
        <v>114</v>
      </c>
      <c r="C66" s="104">
        <f>'B7 Performance corr fusions'!J66/'B7 Performance corr fusions'!C66</f>
        <v>1588.6905403017738</v>
      </c>
      <c r="D66" s="104">
        <f>'B7 Performance corr fusions'!R66/'B7 Performance corr fusions'!C66</f>
        <v>1615.4899500118813</v>
      </c>
      <c r="E66" s="143">
        <f t="shared" si="2"/>
        <v>26.799409710107511</v>
      </c>
      <c r="F66" s="147">
        <f t="shared" si="8"/>
        <v>1.6868867177252108E-2</v>
      </c>
      <c r="G66" s="175">
        <f>'[2]T1  PF2011'!P66</f>
        <v>81.699280545738844</v>
      </c>
      <c r="H66" s="157">
        <f t="shared" si="9"/>
        <v>0.9106310189169039</v>
      </c>
      <c r="I66" s="159">
        <f>'B7 Performance corr fusions'!L66/'B7 Performance corr fusions'!D66</f>
        <v>1684.0677424263008</v>
      </c>
      <c r="J66" s="98">
        <f>'B7 Performance corr fusions'!S66/'B7 Performance corr fusions'!D66</f>
        <v>1714.2743661682368</v>
      </c>
      <c r="K66" s="149">
        <f t="shared" si="3"/>
        <v>30.206623741936028</v>
      </c>
      <c r="L66" s="152">
        <f t="shared" si="4"/>
        <v>1.7936703483445501E-2</v>
      </c>
      <c r="M66" s="347">
        <f>'[3]T2 PF2012'!$P66</f>
        <v>81.512837747805463</v>
      </c>
      <c r="N66" s="350">
        <f t="shared" si="5"/>
        <v>1.0232809262779721</v>
      </c>
      <c r="O66" s="333">
        <f>'B7 Performance corr fusions'!N66/'B7 Performance corr fusions'!E66</f>
        <v>1720.3692772384081</v>
      </c>
      <c r="P66" s="321">
        <f>'B7 Performance corr fusions'!T66/'B7 Performance corr fusions'!E66</f>
        <v>1753.3255595107573</v>
      </c>
      <c r="Q66" s="149">
        <f t="shared" si="6"/>
        <v>32.956282272349199</v>
      </c>
      <c r="R66" s="336">
        <f t="shared" si="7"/>
        <v>1.9156516399346353E-2</v>
      </c>
      <c r="S66" s="162"/>
      <c r="T66" s="162"/>
    </row>
    <row r="67" spans="1:20" ht="13.8" x14ac:dyDescent="0.25">
      <c r="A67" s="96">
        <v>2135</v>
      </c>
      <c r="B67" s="97" t="s">
        <v>116</v>
      </c>
      <c r="C67" s="104">
        <f>'B7 Performance corr fusions'!J67/'B7 Performance corr fusions'!C67</f>
        <v>1686.2974875047382</v>
      </c>
      <c r="D67" s="104">
        <f>'B7 Performance corr fusions'!R67/'B7 Performance corr fusions'!C67</f>
        <v>1721.9372818045226</v>
      </c>
      <c r="E67" s="143">
        <f t="shared" si="2"/>
        <v>35.639794299784398</v>
      </c>
      <c r="F67" s="147">
        <f t="shared" si="8"/>
        <v>2.1134938860948908E-2</v>
      </c>
      <c r="G67" s="175">
        <f>'[2]T1  PF2011'!P67</f>
        <v>88.69859971331006</v>
      </c>
      <c r="H67" s="157">
        <f t="shared" si="9"/>
        <v>1.1154596592425656</v>
      </c>
      <c r="I67" s="159">
        <f>'B7 Performance corr fusions'!L67/'B7 Performance corr fusions'!D67</f>
        <v>1820.0987774614689</v>
      </c>
      <c r="J67" s="98">
        <f>'B7 Performance corr fusions'!S67/'B7 Performance corr fusions'!D67</f>
        <v>1860.5267477420366</v>
      </c>
      <c r="K67" s="149">
        <f t="shared" si="3"/>
        <v>40.427970280567706</v>
      </c>
      <c r="L67" s="152">
        <f t="shared" si="4"/>
        <v>2.2211964966513231E-2</v>
      </c>
      <c r="M67" s="347">
        <f>'[3]T2 PF2012'!$P67</f>
        <v>87.79345994001082</v>
      </c>
      <c r="N67" s="350">
        <f t="shared" si="5"/>
        <v>1.2715647460454034</v>
      </c>
      <c r="O67" s="333">
        <f>'B7 Performance corr fusions'!N67/'B7 Performance corr fusions'!E67</f>
        <v>1849.0133603009358</v>
      </c>
      <c r="P67" s="321">
        <f>'B7 Performance corr fusions'!T67/'B7 Performance corr fusions'!E67</f>
        <v>1890.363831033636</v>
      </c>
      <c r="Q67" s="149">
        <f t="shared" si="6"/>
        <v>41.35047073270016</v>
      </c>
      <c r="R67" s="336">
        <f t="shared" si="7"/>
        <v>2.2363532692900701E-2</v>
      </c>
      <c r="S67" s="162"/>
      <c r="T67" s="162"/>
    </row>
    <row r="68" spans="1:20" ht="13.8" x14ac:dyDescent="0.25">
      <c r="A68" s="96">
        <v>2137</v>
      </c>
      <c r="B68" s="97" t="s">
        <v>118</v>
      </c>
      <c r="C68" s="104">
        <f>'B7 Performance corr fusions'!J68/'B7 Performance corr fusions'!C68</f>
        <v>1445.3732974016461</v>
      </c>
      <c r="D68" s="104">
        <f>'B7 Performance corr fusions'!R68/'B7 Performance corr fusions'!C68</f>
        <v>1465.038733507389</v>
      </c>
      <c r="E68" s="143">
        <f t="shared" si="2"/>
        <v>19.665436105742856</v>
      </c>
      <c r="F68" s="147">
        <f t="shared" si="8"/>
        <v>1.3605783461681143E-2</v>
      </c>
      <c r="G68" s="175">
        <f>'[2]T1  PF2011'!P68</f>
        <v>77.504261635183084</v>
      </c>
      <c r="H68" s="157">
        <f t="shared" si="9"/>
        <v>0.70439042226989257</v>
      </c>
      <c r="I68" s="159">
        <f>'B7 Performance corr fusions'!L68/'B7 Performance corr fusions'!D68</f>
        <v>1690.9486897237998</v>
      </c>
      <c r="J68" s="98">
        <f>'B7 Performance corr fusions'!S68/'B7 Performance corr fusions'!D68</f>
        <v>1725.194919463916</v>
      </c>
      <c r="K68" s="149">
        <f t="shared" si="3"/>
        <v>34.246229740116178</v>
      </c>
      <c r="L68" s="152">
        <f t="shared" si="4"/>
        <v>2.0252672330175771E-2</v>
      </c>
      <c r="M68" s="347">
        <f>'[3]T2 PF2012'!$P68</f>
        <v>79.484175012033717</v>
      </c>
      <c r="N68" s="350">
        <f t="shared" si="5"/>
        <v>1.1897365414508725</v>
      </c>
      <c r="O68" s="333">
        <f>'B7 Performance corr fusions'!N68/'B7 Performance corr fusions'!E68</f>
        <v>1730.5394752059033</v>
      </c>
      <c r="P68" s="321">
        <f>'B7 Performance corr fusions'!T68/'B7 Performance corr fusions'!E68</f>
        <v>1764.5651104479082</v>
      </c>
      <c r="Q68" s="149">
        <f t="shared" si="6"/>
        <v>34.02563524200491</v>
      </c>
      <c r="R68" s="336">
        <f t="shared" si="7"/>
        <v>1.9661865984280113E-2</v>
      </c>
      <c r="S68" s="162"/>
      <c r="T68" s="162"/>
    </row>
    <row r="69" spans="1:20" ht="13.8" x14ac:dyDescent="0.25">
      <c r="A69" s="96">
        <v>2138</v>
      </c>
      <c r="B69" s="97" t="s">
        <v>120</v>
      </c>
      <c r="C69" s="104">
        <f>'B7 Performance corr fusions'!J69/'B7 Performance corr fusions'!C69</f>
        <v>1903.1636272409025</v>
      </c>
      <c r="D69" s="104">
        <f>'B7 Performance corr fusions'!R69/'B7 Performance corr fusions'!C69</f>
        <v>1964.6446540460749</v>
      </c>
      <c r="E69" s="143">
        <f t="shared" si="2"/>
        <v>61.481026805172405</v>
      </c>
      <c r="F69" s="147">
        <f t="shared" si="8"/>
        <v>3.2304645762016831E-2</v>
      </c>
      <c r="G69" s="175">
        <f>'[2]T1  PF2011'!P69</f>
        <v>57.252796185537122</v>
      </c>
      <c r="H69" s="157">
        <f t="shared" si="9"/>
        <v>2.981122713067883</v>
      </c>
      <c r="I69" s="159">
        <f>'B7 Performance corr fusions'!L69/'B7 Performance corr fusions'!D69</f>
        <v>1677.8925333131608</v>
      </c>
      <c r="J69" s="98">
        <f>'B7 Performance corr fusions'!S69/'B7 Performance corr fusions'!D69</f>
        <v>1711.9177078435168</v>
      </c>
      <c r="K69" s="149">
        <f t="shared" si="3"/>
        <v>34.025174530356026</v>
      </c>
      <c r="L69" s="152">
        <f t="shared" si="4"/>
        <v>2.0278518352525254E-2</v>
      </c>
      <c r="M69" s="347">
        <f>'[3]T2 PF2012'!$P69</f>
        <v>69.967998593513443</v>
      </c>
      <c r="N69" s="350">
        <f t="shared" si="5"/>
        <v>1.3428256121462601</v>
      </c>
      <c r="O69" s="333">
        <f>'B7 Performance corr fusions'!N69/'B7 Performance corr fusions'!E69</f>
        <v>1722.1535224958632</v>
      </c>
      <c r="P69" s="321">
        <f>'B7 Performance corr fusions'!T69/'B7 Performance corr fusions'!E69</f>
        <v>1757.4947146908025</v>
      </c>
      <c r="Q69" s="149">
        <f t="shared" si="6"/>
        <v>35.341192194939367</v>
      </c>
      <c r="R69" s="336">
        <f t="shared" si="7"/>
        <v>2.0521510848649824E-2</v>
      </c>
      <c r="S69" s="162"/>
      <c r="T69" s="162"/>
    </row>
    <row r="70" spans="1:20" ht="13.8" x14ac:dyDescent="0.25">
      <c r="A70" s="96">
        <v>2140</v>
      </c>
      <c r="B70" s="97" t="s">
        <v>122</v>
      </c>
      <c r="C70" s="104">
        <f>'B7 Performance corr fusions'!J70/'B7 Performance corr fusions'!C70</f>
        <v>1947.3273339859059</v>
      </c>
      <c r="D70" s="104">
        <f>'B7 Performance corr fusions'!R70/'B7 Performance corr fusions'!C70</f>
        <v>2009.0335708379719</v>
      </c>
      <c r="E70" s="143">
        <f t="shared" si="2"/>
        <v>61.706236852066013</v>
      </c>
      <c r="F70" s="147">
        <f t="shared" si="8"/>
        <v>3.168765506195715E-2</v>
      </c>
      <c r="G70" s="175">
        <f>'[2]T1  PF2011'!P70</f>
        <v>87.681567588409976</v>
      </c>
      <c r="H70" s="157">
        <f t="shared" si="9"/>
        <v>1.9536924567351441</v>
      </c>
      <c r="I70" s="159">
        <f>'B7 Performance corr fusions'!L70/'B7 Performance corr fusions'!D70</f>
        <v>2025.8214582020728</v>
      </c>
      <c r="J70" s="98">
        <f>'B7 Performance corr fusions'!S70/'B7 Performance corr fusions'!D70</f>
        <v>2091.8512776956136</v>
      </c>
      <c r="K70" s="149">
        <f t="shared" si="3"/>
        <v>66.029819493540799</v>
      </c>
      <c r="L70" s="152">
        <f t="shared" si="4"/>
        <v>3.2594096200433485E-2</v>
      </c>
      <c r="M70" s="347">
        <f>'[3]T2 PF2012'!$P70</f>
        <v>88.49197197236478</v>
      </c>
      <c r="N70" s="350">
        <f t="shared" si="5"/>
        <v>2.0604161376634065</v>
      </c>
      <c r="O70" s="333">
        <f>'B7 Performance corr fusions'!N70/'B7 Performance corr fusions'!E70</f>
        <v>2061.6953949896088</v>
      </c>
      <c r="P70" s="321">
        <f>'B7 Performance corr fusions'!T70/'B7 Performance corr fusions'!E70</f>
        <v>2129.1691913438353</v>
      </c>
      <c r="Q70" s="149">
        <f t="shared" si="6"/>
        <v>67.473796354226579</v>
      </c>
      <c r="R70" s="336">
        <f t="shared" si="7"/>
        <v>3.2727335239824143E-2</v>
      </c>
      <c r="S70" s="162"/>
      <c r="T70" s="162"/>
    </row>
    <row r="71" spans="1:20" ht="13.8" x14ac:dyDescent="0.25">
      <c r="A71" s="96">
        <v>2143</v>
      </c>
      <c r="B71" s="97" t="s">
        <v>124</v>
      </c>
      <c r="C71" s="104">
        <f>'B7 Performance corr fusions'!J71/'B7 Performance corr fusions'!C71</f>
        <v>1445.7169838354594</v>
      </c>
      <c r="D71" s="104">
        <f>'B7 Performance corr fusions'!R71/'B7 Performance corr fusions'!C71</f>
        <v>1466.4335126558244</v>
      </c>
      <c r="E71" s="143">
        <f t="shared" si="2"/>
        <v>20.716528820365056</v>
      </c>
      <c r="F71" s="147">
        <f t="shared" si="8"/>
        <v>1.4329588053537632E-2</v>
      </c>
      <c r="G71" s="175">
        <f>'[2]T1  PF2011'!P71</f>
        <v>88.54318419450118</v>
      </c>
      <c r="H71" s="157">
        <f t="shared" si="9"/>
        <v>0.64952713024520858</v>
      </c>
      <c r="I71" s="159">
        <f>'B7 Performance corr fusions'!L71/'B7 Performance corr fusions'!D71</f>
        <v>1821.1573847380073</v>
      </c>
      <c r="J71" s="98">
        <f>'B7 Performance corr fusions'!S71/'B7 Performance corr fusions'!D71</f>
        <v>1867.2265259513852</v>
      </c>
      <c r="K71" s="149">
        <f t="shared" si="3"/>
        <v>46.069141213377861</v>
      </c>
      <c r="L71" s="152">
        <f t="shared" si="4"/>
        <v>2.529662817692464E-2</v>
      </c>
      <c r="M71" s="347">
        <f>'[3]T2 PF2012'!$P71</f>
        <v>98.580578079177528</v>
      </c>
      <c r="N71" s="350">
        <f t="shared" si="5"/>
        <v>1.2904389460398382</v>
      </c>
      <c r="O71" s="333">
        <f>'B7 Performance corr fusions'!N71/'B7 Performance corr fusions'!E71</f>
        <v>1888.6236050164437</v>
      </c>
      <c r="P71" s="321">
        <f>'B7 Performance corr fusions'!T71/'B7 Performance corr fusions'!E71</f>
        <v>1940.3616479293964</v>
      </c>
      <c r="Q71" s="149">
        <f t="shared" si="6"/>
        <v>51.738042912952778</v>
      </c>
      <c r="R71" s="336">
        <f t="shared" si="7"/>
        <v>2.7394576015850606E-2</v>
      </c>
      <c r="S71" s="162"/>
      <c r="T71" s="162"/>
    </row>
    <row r="72" spans="1:20" ht="13.8" x14ac:dyDescent="0.25">
      <c r="A72" s="96">
        <v>2145</v>
      </c>
      <c r="B72" s="97" t="s">
        <v>126</v>
      </c>
      <c r="C72" s="104">
        <f>'B7 Performance corr fusions'!J72/'B7 Performance corr fusions'!C72</f>
        <v>1872.0600049808027</v>
      </c>
      <c r="D72" s="104">
        <f>'B7 Performance corr fusions'!R72/'B7 Performance corr fusions'!C72</f>
        <v>1928.5108426381398</v>
      </c>
      <c r="E72" s="143">
        <f t="shared" si="2"/>
        <v>56.450837657337161</v>
      </c>
      <c r="F72" s="147">
        <f t="shared" ref="F72:F103" si="10">E72/C72</f>
        <v>3.0154395429176452E-2</v>
      </c>
      <c r="G72" s="175">
        <f>'[2]T1  PF2011'!P72</f>
        <v>83.354261821440261</v>
      </c>
      <c r="H72" s="157">
        <f t="shared" ref="H72:H103" si="11">E72/($G$4*G72/100)*100</f>
        <v>1.8800873372298652</v>
      </c>
      <c r="I72" s="159">
        <f>'B7 Performance corr fusions'!L72/'B7 Performance corr fusions'!D72</f>
        <v>1839.1537084391573</v>
      </c>
      <c r="J72" s="98">
        <f>'B7 Performance corr fusions'!S72/'B7 Performance corr fusions'!D72</f>
        <v>1886.2626556445932</v>
      </c>
      <c r="K72" s="149">
        <f t="shared" si="3"/>
        <v>47.108947205435925</v>
      </c>
      <c r="L72" s="152">
        <f t="shared" si="4"/>
        <v>2.5614469845163777E-2</v>
      </c>
      <c r="M72" s="347">
        <f>'[3]T2 PF2012'!$P72</f>
        <v>78.455946261330539</v>
      </c>
      <c r="N72" s="350">
        <f t="shared" si="5"/>
        <v>1.6580447189014469</v>
      </c>
      <c r="O72" s="333">
        <f>'B7 Performance corr fusions'!N72/'B7 Performance corr fusions'!E72</f>
        <v>1883.98456734706</v>
      </c>
      <c r="P72" s="321">
        <f>'B7 Performance corr fusions'!T72/'B7 Performance corr fusions'!E72</f>
        <v>1932.4942741662569</v>
      </c>
      <c r="Q72" s="149">
        <f t="shared" si="6"/>
        <v>48.509706819196936</v>
      </c>
      <c r="R72" s="336">
        <f t="shared" si="7"/>
        <v>2.5748462943890282E-2</v>
      </c>
      <c r="S72" s="162"/>
      <c r="T72" s="162"/>
    </row>
    <row r="73" spans="1:20" ht="13.8" x14ac:dyDescent="0.25">
      <c r="A73" s="96">
        <v>2147</v>
      </c>
      <c r="B73" s="97" t="s">
        <v>128</v>
      </c>
      <c r="C73" s="104">
        <f>'B7 Performance corr fusions'!J73/'B7 Performance corr fusions'!C73</f>
        <v>1587.1439513496141</v>
      </c>
      <c r="D73" s="104">
        <f>'B7 Performance corr fusions'!R73/'B7 Performance corr fusions'!C73</f>
        <v>1615.6542460238436</v>
      </c>
      <c r="E73" s="143">
        <f t="shared" ref="E73:E136" si="12">D73-C73</f>
        <v>28.510294674229499</v>
      </c>
      <c r="F73" s="147">
        <f t="shared" si="10"/>
        <v>1.7963269588738954E-2</v>
      </c>
      <c r="G73" s="175">
        <f>'[2]T1  PF2011'!P73</f>
        <v>82.871758063869251</v>
      </c>
      <c r="H73" s="157">
        <f t="shared" si="11"/>
        <v>0.95505987052311636</v>
      </c>
      <c r="I73" s="159">
        <f>'B7 Performance corr fusions'!L73/'B7 Performance corr fusions'!D73</f>
        <v>1813.7471338022392</v>
      </c>
      <c r="J73" s="98">
        <f>'B7 Performance corr fusions'!S73/'B7 Performance corr fusions'!D73</f>
        <v>1857.9101545633232</v>
      </c>
      <c r="K73" s="149">
        <f t="shared" ref="K73:K136" si="13">J73-I73</f>
        <v>44.163020761083999</v>
      </c>
      <c r="L73" s="152">
        <f t="shared" ref="L73:L136" si="14">K73/I73</f>
        <v>2.4349050613523552E-2</v>
      </c>
      <c r="M73" s="347">
        <f>'[3]T2 PF2012'!$P73</f>
        <v>81.68732436940148</v>
      </c>
      <c r="N73" s="350">
        <f t="shared" ref="N73:N136" si="15">K73/($M$5*M73/100)*100</f>
        <v>1.4928728030650971</v>
      </c>
      <c r="O73" s="333">
        <f>'B7 Performance corr fusions'!N73/'B7 Performance corr fusions'!E73</f>
        <v>1842.2332283226058</v>
      </c>
      <c r="P73" s="321">
        <f>'B7 Performance corr fusions'!T73/'B7 Performance corr fusions'!E73</f>
        <v>1885.9903108140693</v>
      </c>
      <c r="Q73" s="149">
        <f t="shared" ref="Q73:Q136" si="16">P73-O73</f>
        <v>43.757082491463507</v>
      </c>
      <c r="R73" s="336">
        <f t="shared" ref="R73:R136" si="17">Q73/O73</f>
        <v>2.3752194792027122E-2</v>
      </c>
      <c r="S73" s="162"/>
      <c r="T73" s="162"/>
    </row>
    <row r="74" spans="1:20" ht="13.8" x14ac:dyDescent="0.25">
      <c r="A74" s="96">
        <v>2148</v>
      </c>
      <c r="B74" s="97" t="s">
        <v>130</v>
      </c>
      <c r="C74" s="104">
        <f>'B7 Performance corr fusions'!J74/'B7 Performance corr fusions'!C74</f>
        <v>1643.5085264949876</v>
      </c>
      <c r="D74" s="104">
        <f>'B7 Performance corr fusions'!R74/'B7 Performance corr fusions'!C74</f>
        <v>1675.9998578293219</v>
      </c>
      <c r="E74" s="143">
        <f t="shared" si="12"/>
        <v>32.491331334334291</v>
      </c>
      <c r="F74" s="147">
        <f t="shared" si="10"/>
        <v>1.9769493623271069E-2</v>
      </c>
      <c r="G74" s="175">
        <f>'[2]T1  PF2011'!P74</f>
        <v>92.704422246993019</v>
      </c>
      <c r="H74" s="157">
        <f t="shared" si="11"/>
        <v>0.97297683106481792</v>
      </c>
      <c r="I74" s="159">
        <f>'B7 Performance corr fusions'!L74/'B7 Performance corr fusions'!D74</f>
        <v>1734.3515880618688</v>
      </c>
      <c r="J74" s="98">
        <f>'B7 Performance corr fusions'!S74/'B7 Performance corr fusions'!D74</f>
        <v>1771.293389583235</v>
      </c>
      <c r="K74" s="149">
        <f t="shared" si="13"/>
        <v>36.941801521366187</v>
      </c>
      <c r="L74" s="152">
        <f t="shared" si="14"/>
        <v>2.1300064978548271E-2</v>
      </c>
      <c r="M74" s="347">
        <f>'[3]T2 PF2012'!$P74</f>
        <v>92.826362597438461</v>
      </c>
      <c r="N74" s="350">
        <f t="shared" si="15"/>
        <v>1.0989183957379329</v>
      </c>
      <c r="O74" s="333">
        <f>'B7 Performance corr fusions'!N74/'B7 Performance corr fusions'!E74</f>
        <v>1743.9213146368184</v>
      </c>
      <c r="P74" s="321">
        <f>'B7 Performance corr fusions'!T74/'B7 Performance corr fusions'!E74</f>
        <v>1779.1908836920304</v>
      </c>
      <c r="Q74" s="149">
        <f t="shared" si="16"/>
        <v>35.26956905521206</v>
      </c>
      <c r="R74" s="336">
        <f t="shared" si="17"/>
        <v>2.0224289226350303E-2</v>
      </c>
      <c r="S74" s="162"/>
      <c r="T74" s="162"/>
    </row>
    <row r="75" spans="1:20" ht="13.8" x14ac:dyDescent="0.25">
      <c r="A75" s="96">
        <v>2149</v>
      </c>
      <c r="B75" s="97" t="s">
        <v>132</v>
      </c>
      <c r="C75" s="104">
        <f>'B7 Performance corr fusions'!J75/'B7 Performance corr fusions'!C75</f>
        <v>1934.0954062840954</v>
      </c>
      <c r="D75" s="104">
        <f>'B7 Performance corr fusions'!R75/'B7 Performance corr fusions'!C75</f>
        <v>1997.4999214512866</v>
      </c>
      <c r="E75" s="143">
        <f t="shared" si="12"/>
        <v>63.404515167191221</v>
      </c>
      <c r="F75" s="147">
        <f t="shared" si="10"/>
        <v>3.2782516809244655E-2</v>
      </c>
      <c r="G75" s="175">
        <f>'[2]T1  PF2011'!P75</f>
        <v>95.696263668103626</v>
      </c>
      <c r="H75" s="157">
        <f t="shared" si="11"/>
        <v>1.8393342073996719</v>
      </c>
      <c r="I75" s="159">
        <f>'B7 Performance corr fusions'!L75/'B7 Performance corr fusions'!D75</f>
        <v>1650.898047761435</v>
      </c>
      <c r="J75" s="98">
        <f>'B7 Performance corr fusions'!S75/'B7 Performance corr fusions'!D75</f>
        <v>1680.7472241286223</v>
      </c>
      <c r="K75" s="149">
        <f t="shared" si="13"/>
        <v>29.849176367187283</v>
      </c>
      <c r="L75" s="152">
        <f t="shared" si="14"/>
        <v>1.8080569183337405E-2</v>
      </c>
      <c r="M75" s="347">
        <f>'[3]T2 PF2012'!$P75</f>
        <v>91.660252987629349</v>
      </c>
      <c r="N75" s="350">
        <f t="shared" si="15"/>
        <v>0.89922838276729977</v>
      </c>
      <c r="O75" s="333">
        <f>'B7 Performance corr fusions'!N75/'B7 Performance corr fusions'!E75</f>
        <v>1692.8919002735965</v>
      </c>
      <c r="P75" s="321">
        <f>'B7 Performance corr fusions'!T75/'B7 Performance corr fusions'!E75</f>
        <v>1723.319799875736</v>
      </c>
      <c r="Q75" s="149">
        <f t="shared" si="16"/>
        <v>30.427899602139405</v>
      </c>
      <c r="R75" s="336">
        <f t="shared" si="17"/>
        <v>1.7973917647796534E-2</v>
      </c>
      <c r="S75" s="162"/>
      <c r="T75" s="162"/>
    </row>
    <row r="76" spans="1:20" ht="13.8" x14ac:dyDescent="0.25">
      <c r="A76" s="96">
        <v>2152</v>
      </c>
      <c r="B76" s="97" t="s">
        <v>134</v>
      </c>
      <c r="C76" s="104">
        <f>'B7 Performance corr fusions'!J76/'B7 Performance corr fusions'!C76</f>
        <v>1914.1615931229269</v>
      </c>
      <c r="D76" s="104">
        <f>'B7 Performance corr fusions'!R76/'B7 Performance corr fusions'!C76</f>
        <v>1972.6758761334938</v>
      </c>
      <c r="E76" s="143">
        <f t="shared" si="12"/>
        <v>58.514283010566942</v>
      </c>
      <c r="F76" s="147">
        <f t="shared" si="10"/>
        <v>3.0569144852134317E-2</v>
      </c>
      <c r="G76" s="175">
        <f>'[2]T1  PF2011'!P76</f>
        <v>81.908529859940856</v>
      </c>
      <c r="H76" s="157">
        <f t="shared" si="11"/>
        <v>1.9832077016550314</v>
      </c>
      <c r="I76" s="159">
        <f>'B7 Performance corr fusions'!L76/'B7 Performance corr fusions'!D76</f>
        <v>1835.2721484251838</v>
      </c>
      <c r="J76" s="98">
        <f>'B7 Performance corr fusions'!S76/'B7 Performance corr fusions'!D76</f>
        <v>1881.0467057430797</v>
      </c>
      <c r="K76" s="149">
        <f t="shared" si="13"/>
        <v>45.774557317895869</v>
      </c>
      <c r="L76" s="152">
        <f t="shared" si="14"/>
        <v>2.4941563765992006E-2</v>
      </c>
      <c r="M76" s="347">
        <f>'[3]T2 PF2012'!$P76</f>
        <v>81.028411206672672</v>
      </c>
      <c r="N76" s="350">
        <f t="shared" si="15"/>
        <v>1.559931526572669</v>
      </c>
      <c r="O76" s="333">
        <f>'B7 Performance corr fusions'!N76/'B7 Performance corr fusions'!E76</f>
        <v>1866.1421147725066</v>
      </c>
      <c r="P76" s="321">
        <f>'B7 Performance corr fusions'!T76/'B7 Performance corr fusions'!E76</f>
        <v>1913.0209475597367</v>
      </c>
      <c r="Q76" s="149">
        <f t="shared" si="16"/>
        <v>46.878832787230067</v>
      </c>
      <c r="R76" s="336">
        <f t="shared" si="17"/>
        <v>2.5120719593719081E-2</v>
      </c>
      <c r="S76" s="162"/>
      <c r="T76" s="162"/>
    </row>
    <row r="77" spans="1:20" ht="13.8" x14ac:dyDescent="0.25">
      <c r="A77" s="96">
        <v>2153</v>
      </c>
      <c r="B77" s="97" t="s">
        <v>136</v>
      </c>
      <c r="C77" s="104">
        <f>'B7 Performance corr fusions'!J77/'B7 Performance corr fusions'!C77</f>
        <v>1754.862931050483</v>
      </c>
      <c r="D77" s="104">
        <f>'B7 Performance corr fusions'!R77/'B7 Performance corr fusions'!C77</f>
        <v>1798.1076476011076</v>
      </c>
      <c r="E77" s="143">
        <f t="shared" si="12"/>
        <v>43.244716550624617</v>
      </c>
      <c r="F77" s="147">
        <f t="shared" si="10"/>
        <v>2.4642788781650191E-2</v>
      </c>
      <c r="G77" s="175">
        <f>'[2]T1  PF2011'!P77</f>
        <v>105.57906966083523</v>
      </c>
      <c r="H77" s="157">
        <f t="shared" si="11"/>
        <v>1.1370790750235231</v>
      </c>
      <c r="I77" s="159">
        <f>'B7 Performance corr fusions'!L77/'B7 Performance corr fusions'!D77</f>
        <v>1670.4822823773932</v>
      </c>
      <c r="J77" s="98">
        <f>'B7 Performance corr fusions'!S77/'B7 Performance corr fusions'!D77</f>
        <v>1700.2382898114097</v>
      </c>
      <c r="K77" s="149">
        <f t="shared" si="13"/>
        <v>29.75600743401651</v>
      </c>
      <c r="L77" s="152">
        <f t="shared" si="14"/>
        <v>1.7812824325001773E-2</v>
      </c>
      <c r="M77" s="347">
        <f>'[3]T2 PF2012'!$P77</f>
        <v>110.48349002425707</v>
      </c>
      <c r="N77" s="350">
        <f t="shared" si="15"/>
        <v>0.74369691468028509</v>
      </c>
      <c r="O77" s="333">
        <f>'B7 Performance corr fusions'!N77/'B7 Performance corr fusions'!E77</f>
        <v>1708.0579849619669</v>
      </c>
      <c r="P77" s="321">
        <f>'B7 Performance corr fusions'!T77/'B7 Performance corr fusions'!E77</f>
        <v>1738.8920246221217</v>
      </c>
      <c r="Q77" s="149">
        <f t="shared" si="16"/>
        <v>30.834039660154758</v>
      </c>
      <c r="R77" s="336">
        <f t="shared" si="17"/>
        <v>1.805210357705821E-2</v>
      </c>
      <c r="S77" s="162"/>
      <c r="T77" s="162"/>
    </row>
    <row r="78" spans="1:20" ht="13.8" x14ac:dyDescent="0.25">
      <c r="A78" s="96">
        <v>2155</v>
      </c>
      <c r="B78" s="97" t="s">
        <v>138</v>
      </c>
      <c r="C78" s="104">
        <f>'B7 Performance corr fusions'!J78/'B7 Performance corr fusions'!C78</f>
        <v>1610.686472065822</v>
      </c>
      <c r="D78" s="104">
        <f>'B7 Performance corr fusions'!R78/'B7 Performance corr fusions'!C78</f>
        <v>1640.4734760181707</v>
      </c>
      <c r="E78" s="143">
        <f t="shared" si="12"/>
        <v>29.787003952348641</v>
      </c>
      <c r="F78" s="147">
        <f t="shared" si="10"/>
        <v>1.8493359489227378E-2</v>
      </c>
      <c r="G78" s="175">
        <f>'[2]T1  PF2011'!P78</f>
        <v>75.935109050949549</v>
      </c>
      <c r="H78" s="157">
        <f t="shared" si="11"/>
        <v>1.0889793527679124</v>
      </c>
      <c r="I78" s="159">
        <f>'B7 Performance corr fusions'!L78/'B7 Performance corr fusions'!D78</f>
        <v>1837.5657975243503</v>
      </c>
      <c r="J78" s="98">
        <f>'B7 Performance corr fusions'!S78/'B7 Performance corr fusions'!D78</f>
        <v>1885.730480436139</v>
      </c>
      <c r="K78" s="149">
        <f t="shared" si="13"/>
        <v>48.164682911788759</v>
      </c>
      <c r="L78" s="152">
        <f t="shared" si="14"/>
        <v>2.6211133760041871E-2</v>
      </c>
      <c r="M78" s="347">
        <f>'[3]T2 PF2012'!$P78</f>
        <v>78.319889966722897</v>
      </c>
      <c r="N78" s="350">
        <f t="shared" si="15"/>
        <v>1.6981472362637677</v>
      </c>
      <c r="O78" s="333">
        <f>'B7 Performance corr fusions'!N78/'B7 Performance corr fusions'!E78</f>
        <v>1851.5113036613732</v>
      </c>
      <c r="P78" s="321">
        <f>'B7 Performance corr fusions'!T78/'B7 Performance corr fusions'!E78</f>
        <v>1896.8235419989485</v>
      </c>
      <c r="Q78" s="149">
        <f t="shared" si="16"/>
        <v>45.312238337575309</v>
      </c>
      <c r="R78" s="336">
        <f t="shared" si="17"/>
        <v>2.4473109209741318E-2</v>
      </c>
      <c r="S78" s="162"/>
      <c r="T78" s="162"/>
    </row>
    <row r="79" spans="1:20" ht="13.8" x14ac:dyDescent="0.25">
      <c r="A79" s="96">
        <v>2160</v>
      </c>
      <c r="B79" s="97" t="s">
        <v>140</v>
      </c>
      <c r="C79" s="104">
        <f>'B7 Performance corr fusions'!J79/'B7 Performance corr fusions'!C79</f>
        <v>1849.0330139153148</v>
      </c>
      <c r="D79" s="104">
        <f>'B7 Performance corr fusions'!R79/'B7 Performance corr fusions'!C79</f>
        <v>1899.654684918693</v>
      </c>
      <c r="E79" s="143">
        <f t="shared" si="12"/>
        <v>50.621671003378196</v>
      </c>
      <c r="F79" s="147">
        <f t="shared" si="10"/>
        <v>2.7377375429434414E-2</v>
      </c>
      <c r="G79" s="175">
        <f>'[2]T1  PF2011'!P79</f>
        <v>76.550242560907364</v>
      </c>
      <c r="H79" s="157">
        <f t="shared" si="11"/>
        <v>1.835799931324656</v>
      </c>
      <c r="I79" s="159">
        <f>'B7 Performance corr fusions'!L79/'B7 Performance corr fusions'!D79</f>
        <v>1952.4246870287532</v>
      </c>
      <c r="J79" s="98">
        <f>'B7 Performance corr fusions'!S79/'B7 Performance corr fusions'!D79</f>
        <v>2008.2591438959014</v>
      </c>
      <c r="K79" s="149">
        <f t="shared" si="13"/>
        <v>55.834456867148219</v>
      </c>
      <c r="L79" s="152">
        <f t="shared" si="14"/>
        <v>2.8597495840988592E-2</v>
      </c>
      <c r="M79" s="347">
        <f>'[3]T2 PF2012'!$P79</f>
        <v>79.954635186037819</v>
      </c>
      <c r="N79" s="350">
        <f t="shared" si="15"/>
        <v>1.9283122296712301</v>
      </c>
      <c r="O79" s="333">
        <f>'B7 Performance corr fusions'!N79/'B7 Performance corr fusions'!E79</f>
        <v>1973.1968302198254</v>
      </c>
      <c r="P79" s="321">
        <f>'B7 Performance corr fusions'!T79/'B7 Performance corr fusions'!E79</f>
        <v>2028.5542447635098</v>
      </c>
      <c r="Q79" s="149">
        <f t="shared" si="16"/>
        <v>55.357414543684399</v>
      </c>
      <c r="R79" s="336">
        <f t="shared" si="17"/>
        <v>2.8054684507838615E-2</v>
      </c>
      <c r="S79" s="162"/>
      <c r="T79" s="162"/>
    </row>
    <row r="80" spans="1:20" ht="13.8" x14ac:dyDescent="0.25">
      <c r="A80" s="96">
        <v>2162</v>
      </c>
      <c r="B80" s="97" t="s">
        <v>112</v>
      </c>
      <c r="C80" s="104">
        <f>'B7 Performance corr fusions'!J80/'B7 Performance corr fusions'!C80</f>
        <v>1614.2951796208611</v>
      </c>
      <c r="D80" s="104">
        <f>'B7 Performance corr fusions'!R80/'B7 Performance corr fusions'!C80</f>
        <v>1643.1772148268035</v>
      </c>
      <c r="E80" s="143">
        <f t="shared" si="12"/>
        <v>28.882035205942429</v>
      </c>
      <c r="F80" s="147">
        <f t="shared" si="10"/>
        <v>1.7891421327743642E-2</v>
      </c>
      <c r="G80" s="175">
        <f>'[2]T1  PF2011'!P80</f>
        <v>69.71612761321451</v>
      </c>
      <c r="H80" s="157">
        <f t="shared" si="11"/>
        <v>1.1500851089015001</v>
      </c>
      <c r="I80" s="159">
        <f>'B7 Performance corr fusions'!L80/'B7 Performance corr fusions'!D80</f>
        <v>1536.215592803122</v>
      </c>
      <c r="J80" s="98">
        <f>'B7 Performance corr fusions'!S80/'B7 Performance corr fusions'!D80</f>
        <v>1557.9772727778068</v>
      </c>
      <c r="K80" s="149">
        <f t="shared" si="13"/>
        <v>21.761679974684739</v>
      </c>
      <c r="L80" s="152">
        <f t="shared" si="14"/>
        <v>1.4165772093861091E-2</v>
      </c>
      <c r="M80" s="347">
        <f>'[3]T2 PF2012'!$P80</f>
        <v>71.461355047322044</v>
      </c>
      <c r="N80" s="350">
        <f t="shared" si="15"/>
        <v>0.84089133653270509</v>
      </c>
      <c r="O80" s="333">
        <f>'B7 Performance corr fusions'!N80/'B7 Performance corr fusions'!E80</f>
        <v>1577.0943830647473</v>
      </c>
      <c r="P80" s="321">
        <f>'B7 Performance corr fusions'!T80/'B7 Performance corr fusions'!E80</f>
        <v>1600.248755582902</v>
      </c>
      <c r="Q80" s="149">
        <f t="shared" si="16"/>
        <v>23.154372518154787</v>
      </c>
      <c r="R80" s="336">
        <f t="shared" si="17"/>
        <v>1.468166570548504E-2</v>
      </c>
      <c r="S80" s="162"/>
      <c r="T80" s="162"/>
    </row>
    <row r="81" spans="1:20" s="107" customFormat="1" ht="13.8" x14ac:dyDescent="0.25">
      <c r="A81" s="108">
        <v>2163</v>
      </c>
      <c r="B81" s="109" t="s">
        <v>387</v>
      </c>
      <c r="C81" s="227">
        <f>'B7 Performance corr fusions'!J81/'B7 Performance corr fusions'!C81</f>
        <v>1647.4609204838405</v>
      </c>
      <c r="D81" s="227">
        <f>'B7 Performance corr fusions'!R81/'B7 Performance corr fusions'!C81</f>
        <v>1681.7998649788358</v>
      </c>
      <c r="E81" s="228">
        <f t="shared" si="12"/>
        <v>34.338944494995303</v>
      </c>
      <c r="F81" s="225">
        <f t="shared" si="10"/>
        <v>2.0843556328431965E-2</v>
      </c>
      <c r="G81" s="229">
        <f>'[2]T1  PF2011'!P81</f>
        <v>98.250650854379643</v>
      </c>
      <c r="H81" s="230">
        <f t="shared" si="11"/>
        <v>0.97025736760240222</v>
      </c>
      <c r="I81" s="231">
        <f>'B7 Performance corr fusions'!L81/'B7 Performance corr fusions'!D81</f>
        <v>1600.7906366719569</v>
      </c>
      <c r="J81" s="227">
        <f>'B7 Performance corr fusions'!S81/'B7 Performance corr fusions'!D81</f>
        <v>1627.0451029028936</v>
      </c>
      <c r="K81" s="229">
        <f t="shared" si="13"/>
        <v>26.254466230936714</v>
      </c>
      <c r="L81" s="225">
        <f t="shared" si="14"/>
        <v>1.6400936905477996E-2</v>
      </c>
      <c r="M81" s="347">
        <f>'[3]T2 PF2012'!$P81</f>
        <v>101.23959716840614</v>
      </c>
      <c r="N81" s="350">
        <f t="shared" si="15"/>
        <v>0.71609640029715493</v>
      </c>
      <c r="O81" s="334">
        <f>'B7 Performance corr fusions'!N81/'B7 Performance corr fusions'!E81</f>
        <v>1622.9494861813482</v>
      </c>
      <c r="P81" s="227">
        <f>'B7 Performance corr fusions'!T81/'B7 Performance corr fusions'!E81</f>
        <v>1648.6610409816881</v>
      </c>
      <c r="Q81" s="229">
        <f t="shared" si="16"/>
        <v>25.711554800339854</v>
      </c>
      <c r="R81" s="336">
        <f t="shared" si="17"/>
        <v>1.5842486176718164E-2</v>
      </c>
      <c r="S81" s="226"/>
      <c r="T81" s="226"/>
    </row>
    <row r="82" spans="1:20" ht="13.8" x14ac:dyDescent="0.25">
      <c r="A82" s="96">
        <v>2171</v>
      </c>
      <c r="B82" s="97" t="s">
        <v>142</v>
      </c>
      <c r="C82" s="104">
        <f>'B7 Performance corr fusions'!J82/'B7 Performance corr fusions'!C82</f>
        <v>1624.7776158521656</v>
      </c>
      <c r="D82" s="104">
        <f>'B7 Performance corr fusions'!R82/'B7 Performance corr fusions'!C82</f>
        <v>1655.6961196359946</v>
      </c>
      <c r="E82" s="143">
        <f t="shared" si="12"/>
        <v>30.91850378382901</v>
      </c>
      <c r="F82" s="147">
        <f t="shared" si="10"/>
        <v>1.9029375763287355E-2</v>
      </c>
      <c r="G82" s="175">
        <f>'[2]T1  PF2011'!P82</f>
        <v>88.914758149328861</v>
      </c>
      <c r="H82" s="157">
        <f t="shared" si="11"/>
        <v>0.96533946462206111</v>
      </c>
      <c r="I82" s="159">
        <f>'B7 Performance corr fusions'!L82/'B7 Performance corr fusions'!D82</f>
        <v>1618.6105258270175</v>
      </c>
      <c r="J82" s="98">
        <f>'B7 Performance corr fusions'!S82/'B7 Performance corr fusions'!D82</f>
        <v>1647.5982661330538</v>
      </c>
      <c r="K82" s="149">
        <f t="shared" si="13"/>
        <v>28.987740306036358</v>
      </c>
      <c r="L82" s="152">
        <f t="shared" si="14"/>
        <v>1.7909027430317297E-2</v>
      </c>
      <c r="M82" s="347">
        <f>'[3]T2 PF2012'!$P82</f>
        <v>93.205725819452326</v>
      </c>
      <c r="N82" s="350">
        <f t="shared" si="15"/>
        <v>0.85879691354382748</v>
      </c>
      <c r="O82" s="333">
        <f>'B7 Performance corr fusions'!N82/'B7 Performance corr fusions'!E82</f>
        <v>1655.2443253412896</v>
      </c>
      <c r="P82" s="321">
        <f>'B7 Performance corr fusions'!T82/'B7 Performance corr fusions'!E82</f>
        <v>1684.3344004376527</v>
      </c>
      <c r="Q82" s="149">
        <f t="shared" si="16"/>
        <v>29.09007509636308</v>
      </c>
      <c r="R82" s="336">
        <f t="shared" si="17"/>
        <v>1.7574490152905426E-2</v>
      </c>
      <c r="S82" s="162"/>
      <c r="T82" s="162"/>
    </row>
    <row r="83" spans="1:20" ht="13.8" x14ac:dyDescent="0.25">
      <c r="A83" s="96">
        <v>2172</v>
      </c>
      <c r="B83" s="97" t="s">
        <v>144</v>
      </c>
      <c r="C83" s="104">
        <f>'B7 Performance corr fusions'!J83/'B7 Performance corr fusions'!C83</f>
        <v>1762.5958758112808</v>
      </c>
      <c r="D83" s="104">
        <f>'B7 Performance corr fusions'!R83/'B7 Performance corr fusions'!C83</f>
        <v>1802.2021529332812</v>
      </c>
      <c r="E83" s="143">
        <f t="shared" si="12"/>
        <v>39.606277122000392</v>
      </c>
      <c r="F83" s="147">
        <f t="shared" si="10"/>
        <v>2.2470424256365952E-2</v>
      </c>
      <c r="G83" s="175">
        <f>'[2]T1  PF2011'!P83</f>
        <v>63.208632313732828</v>
      </c>
      <c r="H83" s="157">
        <f t="shared" si="11"/>
        <v>1.7394945484991549</v>
      </c>
      <c r="I83" s="159">
        <f>'B7 Performance corr fusions'!L83/'B7 Performance corr fusions'!D83</f>
        <v>1701.0054588509133</v>
      </c>
      <c r="J83" s="98">
        <f>'B7 Performance corr fusions'!S83/'B7 Performance corr fusions'!D83</f>
        <v>1735.0046918836099</v>
      </c>
      <c r="K83" s="149">
        <f t="shared" si="13"/>
        <v>33.999233032696566</v>
      </c>
      <c r="L83" s="152">
        <f t="shared" si="14"/>
        <v>1.9987727173823532E-2</v>
      </c>
      <c r="M83" s="347">
        <f>'[3]T2 PF2012'!$P83</f>
        <v>67.738758151498416</v>
      </c>
      <c r="N83" s="350">
        <f t="shared" si="15"/>
        <v>1.3859596780797698</v>
      </c>
      <c r="O83" s="333">
        <f>'B7 Performance corr fusions'!N83/'B7 Performance corr fusions'!E83</f>
        <v>1713.4107207343322</v>
      </c>
      <c r="P83" s="321">
        <f>'B7 Performance corr fusions'!T83/'B7 Performance corr fusions'!E83</f>
        <v>1750.1974127024982</v>
      </c>
      <c r="Q83" s="149">
        <f t="shared" si="16"/>
        <v>36.786691968165997</v>
      </c>
      <c r="R83" s="336">
        <f t="shared" si="17"/>
        <v>2.1469862142802505E-2</v>
      </c>
      <c r="S83" s="162"/>
      <c r="T83" s="162"/>
    </row>
    <row r="84" spans="1:20" ht="13.8" x14ac:dyDescent="0.25">
      <c r="A84" s="96">
        <v>2173</v>
      </c>
      <c r="B84" s="97" t="s">
        <v>146</v>
      </c>
      <c r="C84" s="104">
        <f>'B7 Performance corr fusions'!J84/'B7 Performance corr fusions'!C84</f>
        <v>1631.4795013115238</v>
      </c>
      <c r="D84" s="104">
        <f>'B7 Performance corr fusions'!R84/'B7 Performance corr fusions'!C84</f>
        <v>1663.1924297562664</v>
      </c>
      <c r="E84" s="143">
        <f t="shared" si="12"/>
        <v>31.712928444742602</v>
      </c>
      <c r="F84" s="147">
        <f t="shared" si="10"/>
        <v>1.9438140913967363E-2</v>
      </c>
      <c r="G84" s="175">
        <f>'[2]T1  PF2011'!P84</f>
        <v>69.373354900309977</v>
      </c>
      <c r="H84" s="157">
        <f t="shared" si="11"/>
        <v>1.269051052377298</v>
      </c>
      <c r="I84" s="159">
        <f>'B7 Performance corr fusions'!L84/'B7 Performance corr fusions'!D84</f>
        <v>1705.5927570492456</v>
      </c>
      <c r="J84" s="98">
        <f>'B7 Performance corr fusions'!S84/'B7 Performance corr fusions'!D84</f>
        <v>1739.8701481367245</v>
      </c>
      <c r="K84" s="149">
        <f t="shared" si="13"/>
        <v>34.277391087478918</v>
      </c>
      <c r="L84" s="152">
        <f t="shared" si="14"/>
        <v>2.0097054789784866E-2</v>
      </c>
      <c r="M84" s="347">
        <f>'[3]T2 PF2012'!$P84</f>
        <v>69.700284950441684</v>
      </c>
      <c r="N84" s="350">
        <f t="shared" si="15"/>
        <v>1.3579754284746015</v>
      </c>
      <c r="O84" s="333">
        <f>'B7 Performance corr fusions'!N84/'B7 Performance corr fusions'!E84</f>
        <v>1731.6100223603764</v>
      </c>
      <c r="P84" s="321">
        <f>'B7 Performance corr fusions'!T84/'B7 Performance corr fusions'!E84</f>
        <v>1764.368309358214</v>
      </c>
      <c r="Q84" s="149">
        <f t="shared" si="16"/>
        <v>32.758286997837558</v>
      </c>
      <c r="R84" s="336">
        <f t="shared" si="17"/>
        <v>1.8917820164371872E-2</v>
      </c>
      <c r="S84" s="162"/>
      <c r="T84" s="162"/>
    </row>
    <row r="85" spans="1:20" ht="13.8" x14ac:dyDescent="0.25">
      <c r="A85" s="96">
        <v>2174</v>
      </c>
      <c r="B85" s="97" t="s">
        <v>148</v>
      </c>
      <c r="C85" s="104">
        <f>'B7 Performance corr fusions'!J85/'B7 Performance corr fusions'!C85</f>
        <v>1640.2435053737618</v>
      </c>
      <c r="D85" s="104">
        <f>'B7 Performance corr fusions'!R85/'B7 Performance corr fusions'!C85</f>
        <v>1671.891150742676</v>
      </c>
      <c r="E85" s="143">
        <f t="shared" si="12"/>
        <v>31.647645368914255</v>
      </c>
      <c r="F85" s="147">
        <f t="shared" si="10"/>
        <v>1.929447991425073E-2</v>
      </c>
      <c r="G85" s="175">
        <f>'[2]T1  PF2011'!P85</f>
        <v>136.17849671314519</v>
      </c>
      <c r="H85" s="157">
        <f t="shared" si="11"/>
        <v>0.64516130428919494</v>
      </c>
      <c r="I85" s="159">
        <f>'B7 Performance corr fusions'!L85/'B7 Performance corr fusions'!D85</f>
        <v>1877.0871358484458</v>
      </c>
      <c r="J85" s="98">
        <f>'B7 Performance corr fusions'!S85/'B7 Performance corr fusions'!D85</f>
        <v>1924.9994021792895</v>
      </c>
      <c r="K85" s="149">
        <f t="shared" si="13"/>
        <v>47.91226633084375</v>
      </c>
      <c r="L85" s="152">
        <f t="shared" si="14"/>
        <v>2.5524796060779217E-2</v>
      </c>
      <c r="M85" s="347">
        <f>'[3]T2 PF2012'!$P85</f>
        <v>131.44888020675913</v>
      </c>
      <c r="N85" s="350">
        <f t="shared" si="15"/>
        <v>1.006487832933193</v>
      </c>
      <c r="O85" s="333">
        <f>'B7 Performance corr fusions'!N85/'B7 Performance corr fusions'!E85</f>
        <v>1898.4369539324482</v>
      </c>
      <c r="P85" s="321">
        <f>'B7 Performance corr fusions'!T85/'B7 Performance corr fusions'!E85</f>
        <v>1947.4530507769198</v>
      </c>
      <c r="Q85" s="149">
        <f t="shared" si="16"/>
        <v>49.016096844471576</v>
      </c>
      <c r="R85" s="336">
        <f t="shared" si="17"/>
        <v>2.5819186011386348E-2</v>
      </c>
      <c r="S85" s="162"/>
      <c r="T85" s="162"/>
    </row>
    <row r="86" spans="1:20" ht="13.8" x14ac:dyDescent="0.25">
      <c r="A86" s="96">
        <v>2175</v>
      </c>
      <c r="B86" s="97" t="s">
        <v>150</v>
      </c>
      <c r="C86" s="104">
        <f>'B7 Performance corr fusions'!J86/'B7 Performance corr fusions'!C86</f>
        <v>1715.510834378865</v>
      </c>
      <c r="D86" s="104">
        <f>'B7 Performance corr fusions'!R86/'B7 Performance corr fusions'!C86</f>
        <v>1752.2570410878343</v>
      </c>
      <c r="E86" s="143">
        <f t="shared" si="12"/>
        <v>36.746206708969339</v>
      </c>
      <c r="F86" s="147">
        <f t="shared" si="10"/>
        <v>2.1419979386066681E-2</v>
      </c>
      <c r="G86" s="175">
        <f>'[2]T1  PF2011'!P86</f>
        <v>81.189489927223732</v>
      </c>
      <c r="H86" s="157">
        <f t="shared" si="11"/>
        <v>1.2564584871516844</v>
      </c>
      <c r="I86" s="159">
        <f>'B7 Performance corr fusions'!L86/'B7 Performance corr fusions'!D86</f>
        <v>1850.0926502967197</v>
      </c>
      <c r="J86" s="98">
        <f>'B7 Performance corr fusions'!S86/'B7 Performance corr fusions'!D86</f>
        <v>1896.6188346796177</v>
      </c>
      <c r="K86" s="149">
        <f t="shared" si="13"/>
        <v>46.526184382898009</v>
      </c>
      <c r="L86" s="152">
        <f t="shared" si="14"/>
        <v>2.5148029411087111E-2</v>
      </c>
      <c r="M86" s="347">
        <f>'[3]T2 PF2012'!$P86</f>
        <v>83.668397065958601</v>
      </c>
      <c r="N86" s="350">
        <f t="shared" si="15"/>
        <v>1.5355172316382235</v>
      </c>
      <c r="O86" s="333">
        <f>'B7 Performance corr fusions'!N86/'B7 Performance corr fusions'!E86</f>
        <v>1845.2664452602799</v>
      </c>
      <c r="P86" s="321">
        <f>'B7 Performance corr fusions'!T86/'B7 Performance corr fusions'!E86</f>
        <v>1887.8003939372245</v>
      </c>
      <c r="Q86" s="149">
        <f t="shared" si="16"/>
        <v>42.533948676944647</v>
      </c>
      <c r="R86" s="336">
        <f t="shared" si="17"/>
        <v>2.3050301915041389E-2</v>
      </c>
      <c r="S86" s="162"/>
      <c r="T86" s="162"/>
    </row>
    <row r="87" spans="1:20" ht="13.8" x14ac:dyDescent="0.25">
      <c r="A87" s="96">
        <v>2177</v>
      </c>
      <c r="B87" s="97" t="s">
        <v>152</v>
      </c>
      <c r="C87" s="104">
        <f>'B7 Performance corr fusions'!J87/'B7 Performance corr fusions'!C87</f>
        <v>1720.3224444522507</v>
      </c>
      <c r="D87" s="104">
        <f>'B7 Performance corr fusions'!R87/'B7 Performance corr fusions'!C87</f>
        <v>1759.7632682003016</v>
      </c>
      <c r="E87" s="143">
        <f t="shared" si="12"/>
        <v>39.440823748050889</v>
      </c>
      <c r="F87" s="147">
        <f t="shared" si="10"/>
        <v>2.2926413519303246E-2</v>
      </c>
      <c r="G87" s="175">
        <f>'[2]T1  PF2011'!P87</f>
        <v>69.317457602769394</v>
      </c>
      <c r="H87" s="157">
        <f t="shared" si="11"/>
        <v>1.5795697021530133</v>
      </c>
      <c r="I87" s="159">
        <f>'B7 Performance corr fusions'!L87/'B7 Performance corr fusions'!D87</f>
        <v>1814.2764374405083</v>
      </c>
      <c r="J87" s="98">
        <f>'B7 Performance corr fusions'!S87/'B7 Performance corr fusions'!D87</f>
        <v>1856.6649460543802</v>
      </c>
      <c r="K87" s="149">
        <f t="shared" si="13"/>
        <v>42.388508613871863</v>
      </c>
      <c r="L87" s="152">
        <f t="shared" si="14"/>
        <v>2.3363864369903564E-2</v>
      </c>
      <c r="M87" s="347">
        <f>'[3]T2 PF2012'!$P87</f>
        <v>67.664115661888204</v>
      </c>
      <c r="N87" s="350">
        <f t="shared" si="15"/>
        <v>1.7298499460495305</v>
      </c>
      <c r="O87" s="333">
        <f>'B7 Performance corr fusions'!N87/'B7 Performance corr fusions'!E87</f>
        <v>1818.8596154499412</v>
      </c>
      <c r="P87" s="321">
        <f>'B7 Performance corr fusions'!T87/'B7 Performance corr fusions'!E87</f>
        <v>1859.2447471396449</v>
      </c>
      <c r="Q87" s="149">
        <f t="shared" si="16"/>
        <v>40.385131689703712</v>
      </c>
      <c r="R87" s="336">
        <f t="shared" si="17"/>
        <v>2.220354520308233E-2</v>
      </c>
      <c r="S87" s="162"/>
      <c r="T87" s="162"/>
    </row>
    <row r="88" spans="1:20" ht="13.8" x14ac:dyDescent="0.25">
      <c r="A88" s="96">
        <v>2179</v>
      </c>
      <c r="B88" s="97" t="s">
        <v>154</v>
      </c>
      <c r="C88" s="104">
        <f>'B7 Performance corr fusions'!J88/'B7 Performance corr fusions'!C88</f>
        <v>1717.9166394155577</v>
      </c>
      <c r="D88" s="104">
        <f>'B7 Performance corr fusions'!R88/'B7 Performance corr fusions'!C88</f>
        <v>1759.4628836312929</v>
      </c>
      <c r="E88" s="143">
        <f t="shared" si="12"/>
        <v>41.546244215735214</v>
      </c>
      <c r="F88" s="147">
        <f t="shared" si="10"/>
        <v>2.4184086272002941E-2</v>
      </c>
      <c r="G88" s="175">
        <f>'[2]T1  PF2011'!P88</f>
        <v>145.49499743384223</v>
      </c>
      <c r="H88" s="157">
        <f t="shared" si="11"/>
        <v>0.79271878892367598</v>
      </c>
      <c r="I88" s="159">
        <f>'B7 Performance corr fusions'!L88/'B7 Performance corr fusions'!D88</f>
        <v>1548.0367073911329</v>
      </c>
      <c r="J88" s="98">
        <f>'B7 Performance corr fusions'!S88/'B7 Performance corr fusions'!D88</f>
        <v>1569.5337358140973</v>
      </c>
      <c r="K88" s="149">
        <f t="shared" si="13"/>
        <v>21.497028422964377</v>
      </c>
      <c r="L88" s="152">
        <f t="shared" si="14"/>
        <v>1.3886639974573196E-2</v>
      </c>
      <c r="M88" s="347">
        <f>'[3]T2 PF2012'!$P88</f>
        <v>138.34666390418255</v>
      </c>
      <c r="N88" s="350">
        <f t="shared" si="15"/>
        <v>0.42907029159786814</v>
      </c>
      <c r="O88" s="333">
        <f>'B7 Performance corr fusions'!N88/'B7 Performance corr fusions'!E88</f>
        <v>1578.3433547449654</v>
      </c>
      <c r="P88" s="321">
        <f>'B7 Performance corr fusions'!T88/'B7 Performance corr fusions'!E88</f>
        <v>1600.5470725380769</v>
      </c>
      <c r="Q88" s="149">
        <f t="shared" si="16"/>
        <v>22.203717793111537</v>
      </c>
      <c r="R88" s="336">
        <f t="shared" si="17"/>
        <v>1.4067736102135582E-2</v>
      </c>
      <c r="S88" s="162"/>
      <c r="T88" s="162"/>
    </row>
    <row r="89" spans="1:20" ht="13.8" x14ac:dyDescent="0.25">
      <c r="A89" s="96">
        <v>2183</v>
      </c>
      <c r="B89" s="97" t="s">
        <v>156</v>
      </c>
      <c r="C89" s="104">
        <f>'B7 Performance corr fusions'!J89/'B7 Performance corr fusions'!C89</f>
        <v>1627.5271073226713</v>
      </c>
      <c r="D89" s="104">
        <f>'B7 Performance corr fusions'!R89/'B7 Performance corr fusions'!C89</f>
        <v>1659.5518754203595</v>
      </c>
      <c r="E89" s="143">
        <f t="shared" si="12"/>
        <v>32.024768097688138</v>
      </c>
      <c r="F89" s="147">
        <f t="shared" si="10"/>
        <v>1.9676949129510842E-2</v>
      </c>
      <c r="G89" s="175">
        <f>'[2]T1  PF2011'!P89</f>
        <v>123.52784337480094</v>
      </c>
      <c r="H89" s="157">
        <f t="shared" si="11"/>
        <v>0.71970841024437948</v>
      </c>
      <c r="I89" s="159">
        <f>'B7 Performance corr fusions'!L89/'B7 Performance corr fusions'!D89</f>
        <v>1832.9784993260178</v>
      </c>
      <c r="J89" s="98">
        <f>'B7 Performance corr fusions'!S89/'B7 Performance corr fusions'!D89</f>
        <v>1879.9631106828981</v>
      </c>
      <c r="K89" s="149">
        <f t="shared" si="13"/>
        <v>46.98461135688035</v>
      </c>
      <c r="L89" s="152">
        <f t="shared" si="14"/>
        <v>2.5632930977726412E-2</v>
      </c>
      <c r="M89" s="347">
        <f>'[3]T2 PF2012'!$P89</f>
        <v>125.71371455703306</v>
      </c>
      <c r="N89" s="350">
        <f t="shared" si="15"/>
        <v>1.032028487914517</v>
      </c>
      <c r="O89" s="333">
        <f>'B7 Performance corr fusions'!N89/'B7 Performance corr fusions'!E89</f>
        <v>1861.3246525773775</v>
      </c>
      <c r="P89" s="321">
        <f>'B7 Performance corr fusions'!T89/'B7 Performance corr fusions'!E89</f>
        <v>1907.7402484636941</v>
      </c>
      <c r="Q89" s="149">
        <f t="shared" si="16"/>
        <v>46.415595886316623</v>
      </c>
      <c r="R89" s="336">
        <f t="shared" si="17"/>
        <v>2.493686193971853E-2</v>
      </c>
      <c r="S89" s="162"/>
      <c r="T89" s="162"/>
    </row>
    <row r="90" spans="1:20" ht="13.8" x14ac:dyDescent="0.25">
      <c r="A90" s="96">
        <v>2184</v>
      </c>
      <c r="B90" s="97" t="s">
        <v>158</v>
      </c>
      <c r="C90" s="104">
        <f>'B7 Performance corr fusions'!J90/'B7 Performance corr fusions'!C90</f>
        <v>1459.120754754176</v>
      </c>
      <c r="D90" s="104">
        <f>'B7 Performance corr fusions'!R90/'B7 Performance corr fusions'!C90</f>
        <v>1479.1119694263202</v>
      </c>
      <c r="E90" s="143">
        <f t="shared" si="12"/>
        <v>19.991214672144224</v>
      </c>
      <c r="F90" s="147">
        <f t="shared" si="10"/>
        <v>1.3700863761280831E-2</v>
      </c>
      <c r="G90" s="175">
        <f>'[2]T1  PF2011'!P90</f>
        <v>72.813441285819096</v>
      </c>
      <c r="H90" s="157">
        <f t="shared" si="11"/>
        <v>0.76218968890359784</v>
      </c>
      <c r="I90" s="159">
        <f>'B7 Performance corr fusions'!L90/'B7 Performance corr fusions'!D90</f>
        <v>1858.2086394168466</v>
      </c>
      <c r="J90" s="98">
        <f>'B7 Performance corr fusions'!S90/'B7 Performance corr fusions'!D90</f>
        <v>1904.875835018737</v>
      </c>
      <c r="K90" s="149">
        <f t="shared" si="13"/>
        <v>46.667195601890398</v>
      </c>
      <c r="L90" s="152">
        <f t="shared" si="14"/>
        <v>2.5114077403351087E-2</v>
      </c>
      <c r="M90" s="347">
        <f>'[3]T2 PF2012'!$P90</f>
        <v>73.527094341184394</v>
      </c>
      <c r="N90" s="350">
        <f t="shared" si="15"/>
        <v>1.7526007991482917</v>
      </c>
      <c r="O90" s="333">
        <f>'B7 Performance corr fusions'!N90/'B7 Performance corr fusions'!E90</f>
        <v>1873.8143693795648</v>
      </c>
      <c r="P90" s="321">
        <f>'B7 Performance corr fusions'!T90/'B7 Performance corr fusions'!E90</f>
        <v>1919.6087373412024</v>
      </c>
      <c r="Q90" s="149">
        <f t="shared" si="16"/>
        <v>45.79436796163759</v>
      </c>
      <c r="R90" s="336">
        <f t="shared" si="17"/>
        <v>2.4439116654228925E-2</v>
      </c>
      <c r="S90" s="162"/>
      <c r="T90" s="162"/>
    </row>
    <row r="91" spans="1:20" ht="13.8" x14ac:dyDescent="0.25">
      <c r="A91" s="96">
        <v>2185</v>
      </c>
      <c r="B91" s="97" t="s">
        <v>160</v>
      </c>
      <c r="C91" s="104">
        <f>'B7 Performance corr fusions'!J91/'B7 Performance corr fusions'!C91</f>
        <v>1456.5431065005769</v>
      </c>
      <c r="D91" s="104">
        <f>'B7 Performance corr fusions'!R91/'B7 Performance corr fusions'!C91</f>
        <v>1475.490489530325</v>
      </c>
      <c r="E91" s="143">
        <f t="shared" si="12"/>
        <v>18.947383029748153</v>
      </c>
      <c r="F91" s="147">
        <f t="shared" si="10"/>
        <v>1.3008460199485794E-2</v>
      </c>
      <c r="G91" s="175">
        <f>'[2]T1  PF2011'!P91</f>
        <v>71.709536805121317</v>
      </c>
      <c r="H91" s="157">
        <f t="shared" si="11"/>
        <v>0.7335129082083689</v>
      </c>
      <c r="I91" s="159">
        <f>'B7 Performance corr fusions'!L91/'B7 Performance corr fusions'!D91</f>
        <v>1785.5176064278855</v>
      </c>
      <c r="J91" s="98">
        <f>'B7 Performance corr fusions'!S91/'B7 Performance corr fusions'!D91</f>
        <v>1822.1958830342464</v>
      </c>
      <c r="K91" s="149">
        <f t="shared" si="13"/>
        <v>36.678276606360896</v>
      </c>
      <c r="L91" s="152">
        <f t="shared" si="14"/>
        <v>2.0542097414396051E-2</v>
      </c>
      <c r="M91" s="347">
        <f>'[3]T2 PF2012'!$P91</f>
        <v>70.734023336929809</v>
      </c>
      <c r="N91" s="350">
        <f t="shared" si="15"/>
        <v>1.4318557431788606</v>
      </c>
      <c r="O91" s="333">
        <f>'B7 Performance corr fusions'!N91/'B7 Performance corr fusions'!E91</f>
        <v>1841.1626811681324</v>
      </c>
      <c r="P91" s="321">
        <f>'B7 Performance corr fusions'!T91/'B7 Performance corr fusions'!E91</f>
        <v>1881.4015683302632</v>
      </c>
      <c r="Q91" s="149">
        <f t="shared" si="16"/>
        <v>40.238887162130823</v>
      </c>
      <c r="R91" s="336">
        <f t="shared" si="17"/>
        <v>2.1855150320883712E-2</v>
      </c>
      <c r="S91" s="162"/>
      <c r="T91" s="162"/>
    </row>
    <row r="92" spans="1:20" ht="13.8" x14ac:dyDescent="0.25">
      <c r="A92" s="96">
        <v>2186</v>
      </c>
      <c r="B92" s="97" t="s">
        <v>162</v>
      </c>
      <c r="C92" s="104">
        <f>'B7 Performance corr fusions'!J92/'B7 Performance corr fusions'!C92</f>
        <v>1581.1294387578819</v>
      </c>
      <c r="D92" s="104">
        <f>'B7 Performance corr fusions'!R92/'B7 Performance corr fusions'!C92</f>
        <v>1607.8199147310891</v>
      </c>
      <c r="E92" s="143">
        <f t="shared" si="12"/>
        <v>26.690475973207185</v>
      </c>
      <c r="F92" s="147">
        <f t="shared" si="10"/>
        <v>1.6880639446049991E-2</v>
      </c>
      <c r="G92" s="175">
        <f>'[2]T1  PF2011'!P92</f>
        <v>80.121896398946333</v>
      </c>
      <c r="H92" s="157">
        <f t="shared" si="11"/>
        <v>0.9247845000732916</v>
      </c>
      <c r="I92" s="159">
        <f>'B7 Performance corr fusions'!L92/'B7 Performance corr fusions'!D92</f>
        <v>2008.001569047012</v>
      </c>
      <c r="J92" s="98">
        <f>'B7 Performance corr fusions'!S92/'B7 Performance corr fusions'!D92</f>
        <v>2072.8219794197212</v>
      </c>
      <c r="K92" s="149">
        <f t="shared" si="13"/>
        <v>64.820410372709148</v>
      </c>
      <c r="L92" s="152">
        <f t="shared" si="14"/>
        <v>3.2281055638553414E-2</v>
      </c>
      <c r="M92" s="347">
        <f>'[3]T2 PF2012'!$P92</f>
        <v>85.100280235860353</v>
      </c>
      <c r="N92" s="350">
        <f t="shared" si="15"/>
        <v>2.1032916212245927</v>
      </c>
      <c r="O92" s="333">
        <f>'B7 Performance corr fusions'!N92/'B7 Performance corr fusions'!E92</f>
        <v>2028.5084332009401</v>
      </c>
      <c r="P92" s="321">
        <f>'B7 Performance corr fusions'!T92/'B7 Performance corr fusions'!E92</f>
        <v>2091.8165507948479</v>
      </c>
      <c r="Q92" s="149">
        <f t="shared" si="16"/>
        <v>63.308117593907809</v>
      </c>
      <c r="R92" s="336">
        <f t="shared" si="17"/>
        <v>3.1209196155033501E-2</v>
      </c>
      <c r="S92" s="162"/>
      <c r="T92" s="162"/>
    </row>
    <row r="93" spans="1:20" ht="13.8" x14ac:dyDescent="0.25">
      <c r="A93" s="96">
        <v>2189</v>
      </c>
      <c r="B93" s="97" t="s">
        <v>164</v>
      </c>
      <c r="C93" s="104">
        <f>'B7 Performance corr fusions'!J93/'B7 Performance corr fusions'!C93</f>
        <v>1766.0327401494135</v>
      </c>
      <c r="D93" s="104">
        <f>'B7 Performance corr fusions'!R93/'B7 Performance corr fusions'!C93</f>
        <v>1810.4520127340518</v>
      </c>
      <c r="E93" s="143">
        <f t="shared" si="12"/>
        <v>44.419272584638293</v>
      </c>
      <c r="F93" s="147">
        <f t="shared" si="10"/>
        <v>2.5152009685211297E-2</v>
      </c>
      <c r="G93" s="175">
        <f>'[2]T1  PF2011'!P93</f>
        <v>84.917691835462293</v>
      </c>
      <c r="H93" s="157">
        <f t="shared" si="11"/>
        <v>1.4521407229206096</v>
      </c>
      <c r="I93" s="159">
        <f>'B7 Performance corr fusions'!L93/'B7 Performance corr fusions'!D93</f>
        <v>1778.2837900382071</v>
      </c>
      <c r="J93" s="98">
        <f>'B7 Performance corr fusions'!S93/'B7 Performance corr fusions'!D93</f>
        <v>1817.2408854910336</v>
      </c>
      <c r="K93" s="149">
        <f t="shared" si="13"/>
        <v>38.957095452826479</v>
      </c>
      <c r="L93" s="152">
        <f t="shared" si="14"/>
        <v>2.1907130724050219E-2</v>
      </c>
      <c r="M93" s="347">
        <f>'[3]T2 PF2012'!$P93</f>
        <v>81.686117655144784</v>
      </c>
      <c r="N93" s="350">
        <f t="shared" si="15"/>
        <v>1.3169128023597048</v>
      </c>
      <c r="O93" s="333">
        <f>'B7 Performance corr fusions'!N93/'B7 Performance corr fusions'!E93</f>
        <v>1799.7681911951695</v>
      </c>
      <c r="P93" s="321">
        <f>'B7 Performance corr fusions'!T93/'B7 Performance corr fusions'!E93</f>
        <v>1839.9727696474292</v>
      </c>
      <c r="Q93" s="149">
        <f t="shared" si="16"/>
        <v>40.204578452259739</v>
      </c>
      <c r="R93" s="336">
        <f t="shared" si="17"/>
        <v>2.2338753762261541E-2</v>
      </c>
      <c r="S93" s="162"/>
      <c r="T93" s="162"/>
    </row>
    <row r="94" spans="1:20" ht="13.8" x14ac:dyDescent="0.25">
      <c r="A94" s="96">
        <v>2192</v>
      </c>
      <c r="B94" s="97" t="s">
        <v>381</v>
      </c>
      <c r="C94" s="104">
        <f>'B7 Performance corr fusions'!J94/'B7 Performance corr fusions'!C94</f>
        <v>1905.9131187114083</v>
      </c>
      <c r="D94" s="104">
        <f>'B7 Performance corr fusions'!R94/'B7 Performance corr fusions'!C94</f>
        <v>1965.4507212368537</v>
      </c>
      <c r="E94" s="143">
        <f t="shared" si="12"/>
        <v>59.537602525445436</v>
      </c>
      <c r="F94" s="147">
        <f t="shared" si="10"/>
        <v>3.1238361256308959E-2</v>
      </c>
      <c r="G94" s="175">
        <f>'[2]T1  PF2011'!P94</f>
        <v>79.245198723160598</v>
      </c>
      <c r="H94" s="157">
        <f t="shared" si="11"/>
        <v>2.0857095372917982</v>
      </c>
      <c r="I94" s="159">
        <f>'B7 Performance corr fusions'!L94/'B7 Performance corr fusions'!D94</f>
        <v>1832.6256302338384</v>
      </c>
      <c r="J94" s="98">
        <f>'B7 Performance corr fusions'!S94/'B7 Performance corr fusions'!D94</f>
        <v>1878.8882437145928</v>
      </c>
      <c r="K94" s="149">
        <f t="shared" si="13"/>
        <v>46.262613480754453</v>
      </c>
      <c r="L94" s="152">
        <f t="shared" si="14"/>
        <v>2.5243897453759535E-2</v>
      </c>
      <c r="M94" s="347">
        <f>'[3]T2 PF2012'!$P94</f>
        <v>82.196019414724091</v>
      </c>
      <c r="N94" s="350">
        <f t="shared" si="15"/>
        <v>1.5541684311178532</v>
      </c>
      <c r="O94" s="333">
        <f>'B7 Performance corr fusions'!N94/'B7 Performance corr fusions'!E94</f>
        <v>1858.113011113958</v>
      </c>
      <c r="P94" s="321">
        <f>'B7 Performance corr fusions'!T94/'B7 Performance corr fusions'!E94</f>
        <v>1903.8583282073635</v>
      </c>
      <c r="Q94" s="149">
        <f t="shared" si="16"/>
        <v>45.745317093405447</v>
      </c>
      <c r="R94" s="336">
        <f t="shared" si="17"/>
        <v>2.4619232963650931E-2</v>
      </c>
      <c r="S94" s="162"/>
      <c r="T94" s="162"/>
    </row>
    <row r="95" spans="1:20" ht="13.8" x14ac:dyDescent="0.25">
      <c r="A95" s="96">
        <v>2194</v>
      </c>
      <c r="B95" s="97" t="s">
        <v>167</v>
      </c>
      <c r="C95" s="104">
        <f>'B7 Performance corr fusions'!J95/'B7 Performance corr fusions'!C95</f>
        <v>1538.1686345312253</v>
      </c>
      <c r="D95" s="104">
        <f>'B7 Performance corr fusions'!R95/'B7 Performance corr fusions'!C95</f>
        <v>1561.5690505488187</v>
      </c>
      <c r="E95" s="143">
        <f t="shared" si="12"/>
        <v>23.400416017593443</v>
      </c>
      <c r="F95" s="147">
        <f t="shared" si="10"/>
        <v>1.5213166809063813E-2</v>
      </c>
      <c r="G95" s="175">
        <f>'[2]T1  PF2011'!P95</f>
        <v>271.471570057973</v>
      </c>
      <c r="H95" s="157">
        <f t="shared" si="11"/>
        <v>0.23929557468828749</v>
      </c>
      <c r="I95" s="159">
        <f>'B7 Performance corr fusions'!L95/'B7 Performance corr fusions'!D95</f>
        <v>1750.054262663853</v>
      </c>
      <c r="J95" s="98">
        <f>'B7 Performance corr fusions'!S95/'B7 Performance corr fusions'!D95</f>
        <v>1786.8118742662919</v>
      </c>
      <c r="K95" s="149">
        <f t="shared" si="13"/>
        <v>36.757611602438828</v>
      </c>
      <c r="L95" s="152">
        <f t="shared" si="14"/>
        <v>2.100369822047007E-2</v>
      </c>
      <c r="M95" s="347">
        <f>'[3]T2 PF2012'!$P95</f>
        <v>265.88491354255729</v>
      </c>
      <c r="N95" s="350">
        <f t="shared" si="15"/>
        <v>0.38174406552263973</v>
      </c>
      <c r="O95" s="333">
        <f>'B7 Performance corr fusions'!N95/'B7 Performance corr fusions'!E95</f>
        <v>1774.6103330650494</v>
      </c>
      <c r="P95" s="321">
        <f>'B7 Performance corr fusions'!T95/'B7 Performance corr fusions'!E95</f>
        <v>1811.4122430716845</v>
      </c>
      <c r="Q95" s="149">
        <f t="shared" si="16"/>
        <v>36.801910006635126</v>
      </c>
      <c r="R95" s="336">
        <f t="shared" si="17"/>
        <v>2.0738023058319548E-2</v>
      </c>
      <c r="S95" s="162"/>
      <c r="T95" s="162"/>
    </row>
    <row r="96" spans="1:20" ht="13.8" x14ac:dyDescent="0.25">
      <c r="A96" s="96">
        <v>2196</v>
      </c>
      <c r="B96" s="97" t="s">
        <v>169</v>
      </c>
      <c r="C96" s="104">
        <f>'B7 Performance corr fusions'!J96/'B7 Performance corr fusions'!C96</f>
        <v>1895.0869960462912</v>
      </c>
      <c r="D96" s="104">
        <f>'B7 Performance corr fusions'!R96/'B7 Performance corr fusions'!C96</f>
        <v>1952.1795686220512</v>
      </c>
      <c r="E96" s="143">
        <f t="shared" si="12"/>
        <v>57.092572575759959</v>
      </c>
      <c r="F96" s="147">
        <f t="shared" si="10"/>
        <v>3.0126623577108522E-2</v>
      </c>
      <c r="G96" s="175">
        <f>'[2]T1  PF2011'!P96</f>
        <v>111.78743664471975</v>
      </c>
      <c r="H96" s="157">
        <f t="shared" si="11"/>
        <v>1.4178231347165411</v>
      </c>
      <c r="I96" s="159">
        <f>'B7 Performance corr fusions'!L96/'B7 Performance corr fusions'!D96</f>
        <v>1894.7305904574171</v>
      </c>
      <c r="J96" s="98">
        <f>'B7 Performance corr fusions'!S96/'B7 Performance corr fusions'!D96</f>
        <v>1945.9755304643688</v>
      </c>
      <c r="K96" s="149">
        <f t="shared" si="13"/>
        <v>51.244940006951765</v>
      </c>
      <c r="L96" s="152">
        <f t="shared" si="14"/>
        <v>2.7046029797080783E-2</v>
      </c>
      <c r="M96" s="347">
        <f>'[3]T2 PF2012'!$P96</f>
        <v>112.50470108264356</v>
      </c>
      <c r="N96" s="350">
        <f t="shared" si="15"/>
        <v>1.2577636079339789</v>
      </c>
      <c r="O96" s="333">
        <f>'B7 Performance corr fusions'!N96/'B7 Performance corr fusions'!E96</f>
        <v>1908.9640009514339</v>
      </c>
      <c r="P96" s="321">
        <f>'B7 Performance corr fusions'!T96/'B7 Performance corr fusions'!E96</f>
        <v>1958.7114395298229</v>
      </c>
      <c r="Q96" s="149">
        <f t="shared" si="16"/>
        <v>49.747438578388937</v>
      </c>
      <c r="R96" s="336">
        <f t="shared" si="17"/>
        <v>2.6059914463339617E-2</v>
      </c>
      <c r="S96" s="162"/>
      <c r="T96" s="162"/>
    </row>
    <row r="97" spans="1:20" ht="13.8" x14ac:dyDescent="0.25">
      <c r="A97" s="96">
        <v>2197</v>
      </c>
      <c r="B97" s="97" t="s">
        <v>171</v>
      </c>
      <c r="C97" s="104">
        <f>'B7 Performance corr fusions'!J97/'B7 Performance corr fusions'!C97</f>
        <v>1750.9105370616305</v>
      </c>
      <c r="D97" s="104">
        <f>'B7 Performance corr fusions'!R97/'B7 Performance corr fusions'!C97</f>
        <v>1793.2526168265997</v>
      </c>
      <c r="E97" s="143">
        <f t="shared" si="12"/>
        <v>42.342079764969185</v>
      </c>
      <c r="F97" s="147">
        <f t="shared" si="10"/>
        <v>2.4182891626220639E-2</v>
      </c>
      <c r="G97" s="175">
        <f>'[2]T1  PF2011'!P97</f>
        <v>146.42897095148084</v>
      </c>
      <c r="H97" s="157">
        <f t="shared" si="11"/>
        <v>0.80275056350409824</v>
      </c>
      <c r="I97" s="159">
        <f>'B7 Performance corr fusions'!L97/'B7 Performance corr fusions'!D97</f>
        <v>1775.9901409390411</v>
      </c>
      <c r="J97" s="98">
        <f>'B7 Performance corr fusions'!S97/'B7 Performance corr fusions'!D97</f>
        <v>1817.0646384838919</v>
      </c>
      <c r="K97" s="149">
        <f t="shared" si="13"/>
        <v>41.074497544850828</v>
      </c>
      <c r="L97" s="152">
        <f t="shared" si="14"/>
        <v>2.312766078934031E-2</v>
      </c>
      <c r="M97" s="347">
        <f>'[3]T2 PF2012'!$P97</f>
        <v>146.08016822744716</v>
      </c>
      <c r="N97" s="350">
        <f t="shared" si="15"/>
        <v>0.77642534727261914</v>
      </c>
      <c r="O97" s="333">
        <f>'B7 Performance corr fusions'!N97/'B7 Performance corr fusions'!E97</f>
        <v>1791.560663010875</v>
      </c>
      <c r="P97" s="321">
        <f>'B7 Performance corr fusions'!T97/'B7 Performance corr fusions'!E97</f>
        <v>1830.6236753020125</v>
      </c>
      <c r="Q97" s="149">
        <f t="shared" si="16"/>
        <v>39.063012291137511</v>
      </c>
      <c r="R97" s="336">
        <f t="shared" si="17"/>
        <v>2.1803901535485094E-2</v>
      </c>
      <c r="S97" s="162"/>
      <c r="T97" s="162"/>
    </row>
    <row r="98" spans="1:20" ht="13.8" x14ac:dyDescent="0.25">
      <c r="A98" s="96">
        <v>2198</v>
      </c>
      <c r="B98" s="97" t="s">
        <v>173</v>
      </c>
      <c r="C98" s="104">
        <f>'B7 Performance corr fusions'!J98/'B7 Performance corr fusions'!C98</f>
        <v>1783.7325914907963</v>
      </c>
      <c r="D98" s="104">
        <f>'B7 Performance corr fusions'!R98/'B7 Performance corr fusions'!C98</f>
        <v>1825.808753554845</v>
      </c>
      <c r="E98" s="143">
        <f t="shared" si="12"/>
        <v>42.076162064048731</v>
      </c>
      <c r="F98" s="147">
        <f t="shared" si="10"/>
        <v>2.35888284290879E-2</v>
      </c>
      <c r="G98" s="175">
        <f>'[2]T1  PF2011'!P98</f>
        <v>160.64263398471411</v>
      </c>
      <c r="H98" s="157">
        <f t="shared" si="11"/>
        <v>0.72712779505828151</v>
      </c>
      <c r="I98" s="159">
        <f>'B7 Performance corr fusions'!L98/'B7 Performance corr fusions'!D98</f>
        <v>1810.9241810648039</v>
      </c>
      <c r="J98" s="98">
        <f>'B7 Performance corr fusions'!S98/'B7 Performance corr fusions'!D98</f>
        <v>1850.9352220509109</v>
      </c>
      <c r="K98" s="149">
        <f t="shared" si="13"/>
        <v>40.011040986106991</v>
      </c>
      <c r="L98" s="152">
        <f t="shared" si="14"/>
        <v>2.2094266234040198E-2</v>
      </c>
      <c r="M98" s="347">
        <f>'[3]T2 PF2012'!$P98</f>
        <v>147.81473726607149</v>
      </c>
      <c r="N98" s="350">
        <f t="shared" si="15"/>
        <v>0.74744771882660233</v>
      </c>
      <c r="O98" s="333">
        <f>'B7 Performance corr fusions'!N98/'B7 Performance corr fusions'!E98</f>
        <v>1819.216464501432</v>
      </c>
      <c r="P98" s="321">
        <f>'B7 Performance corr fusions'!T98/'B7 Performance corr fusions'!E98</f>
        <v>1857.1402510280866</v>
      </c>
      <c r="Q98" s="149">
        <f t="shared" si="16"/>
        <v>37.923786526654567</v>
      </c>
      <c r="R98" s="336">
        <f t="shared" si="17"/>
        <v>2.0846219934057063E-2</v>
      </c>
      <c r="S98" s="162"/>
      <c r="T98" s="162"/>
    </row>
    <row r="99" spans="1:20" ht="13.8" x14ac:dyDescent="0.25">
      <c r="A99" s="96">
        <v>2200</v>
      </c>
      <c r="B99" s="97" t="s">
        <v>175</v>
      </c>
      <c r="C99" s="104">
        <f>'B7 Performance corr fusions'!J99/'B7 Performance corr fusions'!C99</f>
        <v>1865.1862763045378</v>
      </c>
      <c r="D99" s="104">
        <f>'B7 Performance corr fusions'!R99/'B7 Performance corr fusions'!C99</f>
        <v>1916.3644035569175</v>
      </c>
      <c r="E99" s="143">
        <f t="shared" si="12"/>
        <v>51.178127252379682</v>
      </c>
      <c r="F99" s="147">
        <f t="shared" si="10"/>
        <v>2.7438614524753015E-2</v>
      </c>
      <c r="G99" s="175">
        <f>'[2]T1  PF2011'!P99</f>
        <v>83.510641373532863</v>
      </c>
      <c r="H99" s="157">
        <f t="shared" si="11"/>
        <v>1.7012886871930744</v>
      </c>
      <c r="I99" s="159">
        <f>'B7 Performance corr fusions'!L99/'B7 Performance corr fusions'!D99</f>
        <v>1807.0426210508306</v>
      </c>
      <c r="J99" s="98">
        <f>'B7 Performance corr fusions'!S99/'B7 Performance corr fusions'!D99</f>
        <v>1847.6442156858586</v>
      </c>
      <c r="K99" s="149">
        <f t="shared" si="13"/>
        <v>40.60159463502805</v>
      </c>
      <c r="L99" s="152">
        <f t="shared" si="14"/>
        <v>2.2468531822131252E-2</v>
      </c>
      <c r="M99" s="347">
        <f>'[3]T2 PF2012'!$P99</f>
        <v>80.2968100113074</v>
      </c>
      <c r="N99" s="350">
        <f t="shared" si="15"/>
        <v>1.3962510235654177</v>
      </c>
      <c r="O99" s="333">
        <f>'B7 Performance corr fusions'!N99/'B7 Performance corr fusions'!E99</f>
        <v>1834.5609737155478</v>
      </c>
      <c r="P99" s="321">
        <f>'B7 Performance corr fusions'!T99/'B7 Performance corr fusions'!E99</f>
        <v>1876.5409621934853</v>
      </c>
      <c r="Q99" s="149">
        <f t="shared" si="16"/>
        <v>41.979988477937468</v>
      </c>
      <c r="R99" s="336">
        <f t="shared" si="17"/>
        <v>2.2882852671238903E-2</v>
      </c>
      <c r="S99" s="162"/>
      <c r="T99" s="162"/>
    </row>
    <row r="100" spans="1:20" ht="13.8" x14ac:dyDescent="0.25">
      <c r="A100" s="96">
        <v>2206</v>
      </c>
      <c r="B100" s="97" t="s">
        <v>178</v>
      </c>
      <c r="C100" s="104">
        <f>'B7 Performance corr fusions'!J100/'B7 Performance corr fusions'!C100</f>
        <v>1781.4986296710103</v>
      </c>
      <c r="D100" s="104">
        <f>'B7 Performance corr fusions'!R100/'B7 Performance corr fusions'!C100</f>
        <v>1826.5267327344984</v>
      </c>
      <c r="E100" s="143">
        <f t="shared" si="12"/>
        <v>45.028103063488061</v>
      </c>
      <c r="F100" s="147">
        <f t="shared" si="10"/>
        <v>2.5275407072192588E-2</v>
      </c>
      <c r="G100" s="175">
        <f>'[2]T1  PF2011'!P100</f>
        <v>98.572746387278244</v>
      </c>
      <c r="H100" s="157">
        <f t="shared" si="11"/>
        <v>1.2681255072759676</v>
      </c>
      <c r="I100" s="159">
        <f>'B7 Performance corr fusions'!L100/'B7 Performance corr fusions'!D100</f>
        <v>1771.9321463789774</v>
      </c>
      <c r="J100" s="98">
        <f>'B7 Performance corr fusions'!S100/'B7 Performance corr fusions'!D100</f>
        <v>1812.280188224571</v>
      </c>
      <c r="K100" s="149">
        <f t="shared" si="13"/>
        <v>40.348041845593571</v>
      </c>
      <c r="L100" s="152">
        <f t="shared" si="14"/>
        <v>2.2770647244053109E-2</v>
      </c>
      <c r="M100" s="347">
        <f>'[3]T2 PF2012'!$P100</f>
        <v>97.690831199538351</v>
      </c>
      <c r="N100" s="350">
        <f t="shared" si="15"/>
        <v>1.1404791856017786</v>
      </c>
      <c r="O100" s="333">
        <f>'B7 Performance corr fusions'!N100/'B7 Performance corr fusions'!E100</f>
        <v>1791.3822384851298</v>
      </c>
      <c r="P100" s="321">
        <f>'B7 Performance corr fusions'!T100/'B7 Performance corr fusions'!E100</f>
        <v>1830.5498298788104</v>
      </c>
      <c r="Q100" s="149">
        <f t="shared" si="16"/>
        <v>39.167591393680596</v>
      </c>
      <c r="R100" s="336">
        <f t="shared" si="17"/>
        <v>2.1864452238179163E-2</v>
      </c>
      <c r="S100" s="162"/>
      <c r="T100" s="162"/>
    </row>
    <row r="101" spans="1:20" ht="13.8" x14ac:dyDescent="0.25">
      <c r="A101" s="96">
        <v>2208</v>
      </c>
      <c r="B101" s="97" t="s">
        <v>180</v>
      </c>
      <c r="C101" s="104">
        <f>'B7 Performance corr fusions'!J101/'B7 Performance corr fusions'!C101</f>
        <v>1963.1369099413153</v>
      </c>
      <c r="D101" s="104">
        <f>'B7 Performance corr fusions'!R101/'B7 Performance corr fusions'!C101</f>
        <v>2032.6904745339548</v>
      </c>
      <c r="E101" s="143">
        <f t="shared" si="12"/>
        <v>69.553564592639532</v>
      </c>
      <c r="F101" s="147">
        <f t="shared" si="10"/>
        <v>3.5429808405323455E-2</v>
      </c>
      <c r="G101" s="175">
        <f>'[2]T1  PF2011'!P101</f>
        <v>105.70861024772846</v>
      </c>
      <c r="H101" s="157">
        <f t="shared" si="11"/>
        <v>1.8266042870373504</v>
      </c>
      <c r="I101" s="159">
        <f>'B7 Performance corr fusions'!L101/'B7 Performance corr fusions'!D101</f>
        <v>1940.4271378946526</v>
      </c>
      <c r="J101" s="98">
        <f>'B7 Performance corr fusions'!S101/'B7 Performance corr fusions'!D101</f>
        <v>1999.0352313541023</v>
      </c>
      <c r="K101" s="149">
        <f t="shared" si="13"/>
        <v>58.608093459449719</v>
      </c>
      <c r="L101" s="152">
        <f t="shared" si="14"/>
        <v>3.0203707377046383E-2</v>
      </c>
      <c r="M101" s="347">
        <f>'[3]T2 PF2012'!$P101</f>
        <v>108.09367711363534</v>
      </c>
      <c r="N101" s="350">
        <f t="shared" si="15"/>
        <v>1.4971868666047161</v>
      </c>
      <c r="O101" s="333">
        <f>'B7 Performance corr fusions'!N101/'B7 Performance corr fusions'!E101</f>
        <v>1946.0763023065047</v>
      </c>
      <c r="P101" s="321">
        <f>'B7 Performance corr fusions'!T101/'B7 Performance corr fusions'!E101</f>
        <v>2001.7327299931774</v>
      </c>
      <c r="Q101" s="149">
        <f t="shared" si="16"/>
        <v>55.656427686672714</v>
      </c>
      <c r="R101" s="336">
        <f t="shared" si="17"/>
        <v>2.8599303953657052E-2</v>
      </c>
      <c r="S101" s="162"/>
      <c r="T101" s="162"/>
    </row>
    <row r="102" spans="1:20" ht="13.8" x14ac:dyDescent="0.25">
      <c r="A102" s="96">
        <v>2211</v>
      </c>
      <c r="B102" s="97" t="s">
        <v>182</v>
      </c>
      <c r="C102" s="104">
        <f>'B7 Performance corr fusions'!J102/'B7 Performance corr fusions'!C102</f>
        <v>1640.9308782413884</v>
      </c>
      <c r="D102" s="104">
        <f>'B7 Performance corr fusions'!R102/'B7 Performance corr fusions'!C102</f>
        <v>1673.0796539995249</v>
      </c>
      <c r="E102" s="143">
        <f t="shared" si="12"/>
        <v>32.14877575813648</v>
      </c>
      <c r="F102" s="147">
        <f t="shared" si="10"/>
        <v>1.9591791576614628E-2</v>
      </c>
      <c r="G102" s="175">
        <f>'[2]T1  PF2011'!P102</f>
        <v>94.225725651227108</v>
      </c>
      <c r="H102" s="157">
        <f t="shared" si="11"/>
        <v>0.94717536100631661</v>
      </c>
      <c r="I102" s="159">
        <f>'B7 Performance corr fusions'!L102/'B7 Performance corr fusions'!D102</f>
        <v>1781.812480960001</v>
      </c>
      <c r="J102" s="98">
        <f>'B7 Performance corr fusions'!S102/'B7 Performance corr fusions'!D102</f>
        <v>1820.3498108385818</v>
      </c>
      <c r="K102" s="149">
        <f t="shared" si="13"/>
        <v>38.537329878580749</v>
      </c>
      <c r="L102" s="152">
        <f t="shared" si="14"/>
        <v>2.1628162497670737E-2</v>
      </c>
      <c r="M102" s="347">
        <f>'[3]T2 PF2012'!$P102</f>
        <v>91.642345601449549</v>
      </c>
      <c r="N102" s="350">
        <f t="shared" si="15"/>
        <v>1.1611922533252546</v>
      </c>
      <c r="O102" s="333">
        <f>'B7 Performance corr fusions'!N102/'B7 Performance corr fusions'!E102</f>
        <v>1804.7640779160445</v>
      </c>
      <c r="P102" s="321">
        <f>'B7 Performance corr fusions'!T102/'B7 Performance corr fusions'!E102</f>
        <v>1843.3866188701252</v>
      </c>
      <c r="Q102" s="149">
        <f t="shared" si="16"/>
        <v>38.622540954080705</v>
      </c>
      <c r="R102" s="336">
        <f t="shared" si="17"/>
        <v>2.1400326738926473E-2</v>
      </c>
      <c r="S102" s="162"/>
      <c r="T102" s="162"/>
    </row>
    <row r="103" spans="1:20" ht="13.8" x14ac:dyDescent="0.25">
      <c r="A103" s="96">
        <v>2213</v>
      </c>
      <c r="B103" s="97" t="s">
        <v>184</v>
      </c>
      <c r="C103" s="104">
        <f>'B7 Performance corr fusions'!J103/'B7 Performance corr fusions'!C103</f>
        <v>1718.4321690662775</v>
      </c>
      <c r="D103" s="104">
        <f>'B7 Performance corr fusions'!R103/'B7 Performance corr fusions'!C103</f>
        <v>1755.5269841753577</v>
      </c>
      <c r="E103" s="143">
        <f t="shared" si="12"/>
        <v>37.094815109080173</v>
      </c>
      <c r="F103" s="147">
        <f t="shared" si="10"/>
        <v>2.158642964024347E-2</v>
      </c>
      <c r="G103" s="175">
        <f>'[2]T1  PF2011'!P103</f>
        <v>79.370181180398305</v>
      </c>
      <c r="H103" s="157">
        <f t="shared" si="11"/>
        <v>1.2974519484065037</v>
      </c>
      <c r="I103" s="159">
        <f>'B7 Performance corr fusions'!L103/'B7 Performance corr fusions'!D103</f>
        <v>1855.9149903176801</v>
      </c>
      <c r="J103" s="98">
        <f>'B7 Performance corr fusions'!S103/'B7 Performance corr fusions'!D103</f>
        <v>1902.8632969623727</v>
      </c>
      <c r="K103" s="149">
        <f t="shared" si="13"/>
        <v>46.948306644692593</v>
      </c>
      <c r="L103" s="152">
        <f t="shared" si="14"/>
        <v>2.5296582488757404E-2</v>
      </c>
      <c r="M103" s="347">
        <f>'[3]T2 PF2012'!$P103</f>
        <v>78.478883839626562</v>
      </c>
      <c r="N103" s="350">
        <f t="shared" si="15"/>
        <v>1.6519078638701616</v>
      </c>
      <c r="O103" s="333">
        <f>'B7 Performance corr fusions'!N103/'B7 Performance corr fusions'!E103</f>
        <v>1834.5609737155478</v>
      </c>
      <c r="P103" s="321">
        <f>'B7 Performance corr fusions'!T103/'B7 Performance corr fusions'!E103</f>
        <v>1876.6603483759022</v>
      </c>
      <c r="Q103" s="149">
        <f t="shared" si="16"/>
        <v>42.099374660354442</v>
      </c>
      <c r="R103" s="336">
        <f t="shared" si="17"/>
        <v>2.294792883067294E-2</v>
      </c>
      <c r="S103" s="162"/>
      <c r="T103" s="162"/>
    </row>
    <row r="104" spans="1:20" ht="13.8" x14ac:dyDescent="0.25">
      <c r="A104" s="96">
        <v>2216</v>
      </c>
      <c r="B104" s="97" t="s">
        <v>186</v>
      </c>
      <c r="C104" s="104">
        <f>'B7 Performance corr fusions'!J104/'B7 Performance corr fusions'!C104</f>
        <v>1451.7314964271914</v>
      </c>
      <c r="D104" s="104">
        <f>'B7 Performance corr fusions'!R104/'B7 Performance corr fusions'!C104</f>
        <v>1472.4832636360484</v>
      </c>
      <c r="E104" s="143">
        <f t="shared" si="12"/>
        <v>20.751767208857018</v>
      </c>
      <c r="F104" s="147">
        <f t="shared" ref="F104:F135" si="18">E104/C104</f>
        <v>1.4294494030010721E-2</v>
      </c>
      <c r="G104" s="175">
        <f>'[2]T1  PF2011'!P104</f>
        <v>137.62423574822111</v>
      </c>
      <c r="H104" s="157">
        <f t="shared" ref="H104:H135" si="19">E104/($G$4*G104/100)*100</f>
        <v>0.41859651670875631</v>
      </c>
      <c r="I104" s="159">
        <f>'B7 Performance corr fusions'!L104/'B7 Performance corr fusions'!D104</f>
        <v>1790.9870773566665</v>
      </c>
      <c r="J104" s="98">
        <f>'B7 Performance corr fusions'!S104/'B7 Performance corr fusions'!D104</f>
        <v>1833.0676760962738</v>
      </c>
      <c r="K104" s="149">
        <f t="shared" si="13"/>
        <v>42.08059873960724</v>
      </c>
      <c r="L104" s="152">
        <f t="shared" si="14"/>
        <v>2.3495757882136349E-2</v>
      </c>
      <c r="M104" s="347">
        <f>'[3]T2 PF2012'!$P104</f>
        <v>144.19920092858595</v>
      </c>
      <c r="N104" s="350">
        <f t="shared" si="15"/>
        <v>0.80581948119964086</v>
      </c>
      <c r="O104" s="333">
        <f>'B7 Performance corr fusions'!N104/'B7 Performance corr fusions'!E104</f>
        <v>1857.5777375367215</v>
      </c>
      <c r="P104" s="321">
        <f>'B7 Performance corr fusions'!T104/'B7 Performance corr fusions'!E104</f>
        <v>1904.4375374414706</v>
      </c>
      <c r="Q104" s="149">
        <f t="shared" si="16"/>
        <v>46.859799904749025</v>
      </c>
      <c r="R104" s="336">
        <f t="shared" si="17"/>
        <v>2.5226292799400366E-2</v>
      </c>
      <c r="S104" s="162"/>
      <c r="T104" s="162"/>
    </row>
    <row r="105" spans="1:20" ht="13.8" x14ac:dyDescent="0.25">
      <c r="A105" s="96">
        <v>2217</v>
      </c>
      <c r="B105" s="97" t="s">
        <v>188</v>
      </c>
      <c r="C105" s="104">
        <f>'B7 Performance corr fusions'!J105/'B7 Performance corr fusions'!C105</f>
        <v>1500.5349700286736</v>
      </c>
      <c r="D105" s="104">
        <f>'B7 Performance corr fusions'!R105/'B7 Performance corr fusions'!C105</f>
        <v>1522.4823041073687</v>
      </c>
      <c r="E105" s="143">
        <f t="shared" si="12"/>
        <v>21.947334078695121</v>
      </c>
      <c r="F105" s="147">
        <f t="shared" si="18"/>
        <v>1.4626339616913914E-2</v>
      </c>
      <c r="G105" s="175">
        <f>'[2]T1  PF2011'!P105</f>
        <v>65.106783567325365</v>
      </c>
      <c r="H105" s="157">
        <f t="shared" si="19"/>
        <v>0.93581710116977557</v>
      </c>
      <c r="I105" s="159">
        <f>'B7 Performance corr fusions'!L105/'B7 Performance corr fusions'!D105</f>
        <v>1795.5743755549988</v>
      </c>
      <c r="J105" s="98">
        <f>'B7 Performance corr fusions'!S105/'B7 Performance corr fusions'!D105</f>
        <v>1836.5403199440123</v>
      </c>
      <c r="K105" s="149">
        <f t="shared" si="13"/>
        <v>40.96594438901343</v>
      </c>
      <c r="L105" s="152">
        <f t="shared" si="14"/>
        <v>2.2814952667360916E-2</v>
      </c>
      <c r="M105" s="347">
        <f>'[3]T2 PF2012'!$P105</f>
        <v>72.246921732961937</v>
      </c>
      <c r="N105" s="350">
        <f t="shared" si="15"/>
        <v>1.5657496717386303</v>
      </c>
      <c r="O105" s="333">
        <f>'B7 Performance corr fusions'!N105/'B7 Performance corr fusions'!E105</f>
        <v>1821.8928323876153</v>
      </c>
      <c r="P105" s="321">
        <f>'B7 Performance corr fusions'!T105/'B7 Performance corr fusions'!E105</f>
        <v>1863.0674612073924</v>
      </c>
      <c r="Q105" s="149">
        <f t="shared" si="16"/>
        <v>41.174628819777126</v>
      </c>
      <c r="R105" s="336">
        <f t="shared" si="17"/>
        <v>2.259991811143865E-2</v>
      </c>
      <c r="S105" s="162"/>
      <c r="T105" s="162"/>
    </row>
    <row r="106" spans="1:20" ht="13.8" x14ac:dyDescent="0.25">
      <c r="A106" s="96">
        <v>2220</v>
      </c>
      <c r="B106" s="97" t="s">
        <v>189</v>
      </c>
      <c r="C106" s="104">
        <f>'B7 Performance corr fusions'!J106/'B7 Performance corr fusions'!C106</f>
        <v>1744.0368083853648</v>
      </c>
      <c r="D106" s="104">
        <f>'B7 Performance corr fusions'!R106/'B7 Performance corr fusions'!C106</f>
        <v>1785.0142032378485</v>
      </c>
      <c r="E106" s="143">
        <f t="shared" si="12"/>
        <v>40.977394852483712</v>
      </c>
      <c r="F106" s="147">
        <f t="shared" si="18"/>
        <v>2.3495716750623355E-2</v>
      </c>
      <c r="G106" s="175">
        <f>'[2]T1  PF2011'!P106</f>
        <v>79.049517911345774</v>
      </c>
      <c r="H106" s="157">
        <f t="shared" si="19"/>
        <v>1.4390655025089885</v>
      </c>
      <c r="I106" s="159">
        <f>'B7 Performance corr fusions'!L106/'B7 Performance corr fusions'!D106</f>
        <v>1788.3405591653204</v>
      </c>
      <c r="J106" s="98">
        <f>'B7 Performance corr fusions'!S106/'B7 Performance corr fusions'!D106</f>
        <v>1829.5774634321249</v>
      </c>
      <c r="K106" s="149">
        <f t="shared" si="13"/>
        <v>41.236904266804459</v>
      </c>
      <c r="L106" s="152">
        <f t="shared" si="14"/>
        <v>2.3058753577702856E-2</v>
      </c>
      <c r="M106" s="347">
        <f>'[3]T2 PF2012'!$P106</f>
        <v>78.47778188359851</v>
      </c>
      <c r="N106" s="350">
        <f t="shared" si="15"/>
        <v>1.4509686891441631</v>
      </c>
      <c r="O106" s="333">
        <f>'B7 Performance corr fusions'!N106/'B7 Performance corr fusions'!E106</f>
        <v>1810.1168136884105</v>
      </c>
      <c r="P106" s="321">
        <f>'B7 Performance corr fusions'!T106/'B7 Performance corr fusions'!E106</f>
        <v>1851.5232477062084</v>
      </c>
      <c r="Q106" s="149">
        <f t="shared" si="16"/>
        <v>41.406434017797892</v>
      </c>
      <c r="R106" s="336">
        <f t="shared" si="17"/>
        <v>2.2875006576744336E-2</v>
      </c>
      <c r="S106" s="162"/>
      <c r="T106" s="162"/>
    </row>
    <row r="107" spans="1:20" ht="13.8" x14ac:dyDescent="0.25">
      <c r="A107" s="96">
        <v>2221</v>
      </c>
      <c r="B107" s="97" t="s">
        <v>191</v>
      </c>
      <c r="C107" s="104">
        <f>'B7 Performance corr fusions'!J107/'B7 Performance corr fusions'!C107</f>
        <v>1763.9706215465342</v>
      </c>
      <c r="D107" s="104">
        <f>'B7 Performance corr fusions'!R107/'B7 Performance corr fusions'!C107</f>
        <v>1805.2092459567252</v>
      </c>
      <c r="E107" s="143">
        <f t="shared" si="12"/>
        <v>41.238624410191051</v>
      </c>
      <c r="F107" s="147">
        <f t="shared" si="18"/>
        <v>2.3378294347122245E-2</v>
      </c>
      <c r="G107" s="175">
        <f>'[2]T1  PF2011'!P107</f>
        <v>82.71939175887087</v>
      </c>
      <c r="H107" s="157">
        <f t="shared" si="19"/>
        <v>1.3839878621011494</v>
      </c>
      <c r="I107" s="159">
        <f>'B7 Performance corr fusions'!L107/'B7 Performance corr fusions'!D107</f>
        <v>1723.5890807503963</v>
      </c>
      <c r="J107" s="98">
        <f>'B7 Performance corr fusions'!S107/'B7 Performance corr fusions'!D107</f>
        <v>1758.2242064363782</v>
      </c>
      <c r="K107" s="149">
        <f t="shared" si="13"/>
        <v>34.635125685981848</v>
      </c>
      <c r="L107" s="152">
        <f t="shared" si="14"/>
        <v>2.0094769729512796E-2</v>
      </c>
      <c r="M107" s="347">
        <f>'[3]T2 PF2012'!$P107</f>
        <v>86.213890111238399</v>
      </c>
      <c r="N107" s="350">
        <f t="shared" si="15"/>
        <v>1.1093235483665229</v>
      </c>
      <c r="O107" s="333">
        <f>'B7 Performance corr fusions'!N107/'B7 Performance corr fusions'!E107</f>
        <v>1738.0333052872156</v>
      </c>
      <c r="P107" s="321">
        <f>'B7 Performance corr fusions'!T107/'B7 Performance corr fusions'!E107</f>
        <v>1772.0165571026312</v>
      </c>
      <c r="Q107" s="149">
        <f t="shared" si="16"/>
        <v>33.983251815415542</v>
      </c>
      <c r="R107" s="336">
        <f t="shared" si="17"/>
        <v>1.9552704607003892E-2</v>
      </c>
      <c r="S107" s="162"/>
      <c r="T107" s="162"/>
    </row>
    <row r="108" spans="1:20" ht="13.8" x14ac:dyDescent="0.25">
      <c r="A108" s="96">
        <v>2222</v>
      </c>
      <c r="B108" s="97" t="s">
        <v>193</v>
      </c>
      <c r="C108" s="104">
        <f>'B7 Performance corr fusions'!J108/'B7 Performance corr fusions'!C108</f>
        <v>1787.5131422627419</v>
      </c>
      <c r="D108" s="104">
        <f>'B7 Performance corr fusions'!R108/'B7 Performance corr fusions'!C108</f>
        <v>1832.7657885446731</v>
      </c>
      <c r="E108" s="143">
        <f t="shared" si="12"/>
        <v>45.25264628193122</v>
      </c>
      <c r="F108" s="147">
        <f t="shared" si="18"/>
        <v>2.5315979621077189E-2</v>
      </c>
      <c r="G108" s="175">
        <f>'[2]T1  PF2011'!P108</f>
        <v>113.79261869529805</v>
      </c>
      <c r="H108" s="157">
        <f t="shared" si="19"/>
        <v>1.1039904905016695</v>
      </c>
      <c r="I108" s="159">
        <f>'B7 Performance corr fusions'!L108/'B7 Performance corr fusions'!D108</f>
        <v>1922.783683285681</v>
      </c>
      <c r="J108" s="98">
        <f>'B7 Performance corr fusions'!S108/'B7 Performance corr fusions'!D108</f>
        <v>1978.9165001217862</v>
      </c>
      <c r="K108" s="149">
        <f t="shared" si="13"/>
        <v>56.132816836105121</v>
      </c>
      <c r="L108" s="152">
        <f t="shared" si="14"/>
        <v>2.9193516319102802E-2</v>
      </c>
      <c r="M108" s="347">
        <f>'[3]T2 PF2012'!$P108</f>
        <v>112.90666587845702</v>
      </c>
      <c r="N108" s="350">
        <f t="shared" si="15"/>
        <v>1.3728274652671622</v>
      </c>
      <c r="O108" s="333">
        <f>'B7 Performance corr fusions'!N108/'B7 Performance corr fusions'!E108</f>
        <v>1939.1177458024292</v>
      </c>
      <c r="P108" s="321">
        <f>'B7 Performance corr fusions'!T108/'B7 Performance corr fusions'!E108</f>
        <v>1994.4968863826646</v>
      </c>
      <c r="Q108" s="149">
        <f t="shared" si="16"/>
        <v>55.379140580235344</v>
      </c>
      <c r="R108" s="336">
        <f t="shared" si="17"/>
        <v>2.8558936506106192E-2</v>
      </c>
      <c r="S108" s="162"/>
      <c r="T108" s="162"/>
    </row>
    <row r="109" spans="1:20" ht="13.8" x14ac:dyDescent="0.25">
      <c r="A109" s="96">
        <v>2223</v>
      </c>
      <c r="B109" s="97" t="s">
        <v>194</v>
      </c>
      <c r="C109" s="104">
        <f>'B7 Performance corr fusions'!J109/'B7 Performance corr fusions'!C109</f>
        <v>1675.9868944903405</v>
      </c>
      <c r="D109" s="104">
        <f>'B7 Performance corr fusions'!R109/'B7 Performance corr fusions'!C109</f>
        <v>1710.2242067039247</v>
      </c>
      <c r="E109" s="143">
        <f t="shared" si="12"/>
        <v>34.237312213584119</v>
      </c>
      <c r="F109" s="147">
        <f t="shared" si="18"/>
        <v>2.0428150319155996E-2</v>
      </c>
      <c r="G109" s="175">
        <f>'[2]T1  PF2011'!P109</f>
        <v>72.978247947763947</v>
      </c>
      <c r="H109" s="157">
        <f t="shared" si="19"/>
        <v>1.302391862512692</v>
      </c>
      <c r="I109" s="159">
        <f>'B7 Performance corr fusions'!L109/'B7 Performance corr fusions'!D109</f>
        <v>1749.3485244794947</v>
      </c>
      <c r="J109" s="98">
        <f>'B7 Performance corr fusions'!S109/'B7 Performance corr fusions'!D109</f>
        <v>1786.2674274644771</v>
      </c>
      <c r="K109" s="149">
        <f t="shared" si="13"/>
        <v>36.918902984982424</v>
      </c>
      <c r="L109" s="152">
        <f t="shared" si="14"/>
        <v>2.1104372552614901E-2</v>
      </c>
      <c r="M109" s="347">
        <f>'[3]T2 PF2012'!$P109</f>
        <v>74.525819669431144</v>
      </c>
      <c r="N109" s="350">
        <f t="shared" si="15"/>
        <v>1.3679201040262328</v>
      </c>
      <c r="O109" s="333">
        <f>'B7 Performance corr fusions'!N109/'B7 Performance corr fusions'!E109</f>
        <v>1776.5730028482503</v>
      </c>
      <c r="P109" s="321">
        <f>'B7 Performance corr fusions'!T109/'B7 Performance corr fusions'!E109</f>
        <v>1813.4348427044465</v>
      </c>
      <c r="Q109" s="149">
        <f t="shared" si="16"/>
        <v>36.861839856196184</v>
      </c>
      <c r="R109" s="336">
        <f t="shared" si="17"/>
        <v>2.0748846119522404E-2</v>
      </c>
      <c r="S109" s="162"/>
      <c r="T109" s="162"/>
    </row>
    <row r="110" spans="1:20" ht="13.8" x14ac:dyDescent="0.25">
      <c r="A110" s="96">
        <v>2225</v>
      </c>
      <c r="B110" s="97" t="s">
        <v>196</v>
      </c>
      <c r="C110" s="104">
        <f>'B7 Performance corr fusions'!J110/'B7 Performance corr fusions'!C110</f>
        <v>1679.7674452622864</v>
      </c>
      <c r="D110" s="104">
        <f>'B7 Performance corr fusions'!R110/'B7 Performance corr fusions'!C110</f>
        <v>1713.0922175578312</v>
      </c>
      <c r="E110" s="143">
        <f t="shared" si="12"/>
        <v>33.32477229554479</v>
      </c>
      <c r="F110" s="147">
        <f t="shared" si="18"/>
        <v>1.9838920196683124E-2</v>
      </c>
      <c r="G110" s="175">
        <f>'[2]T1  PF2011'!P110</f>
        <v>78.0384455596229</v>
      </c>
      <c r="H110" s="157">
        <f t="shared" si="19"/>
        <v>1.1854794335004122</v>
      </c>
      <c r="I110" s="159">
        <f>'B7 Performance corr fusions'!L110/'B7 Performance corr fusions'!D110</f>
        <v>1694.6538151916834</v>
      </c>
      <c r="J110" s="98">
        <f>'B7 Performance corr fusions'!S110/'B7 Performance corr fusions'!D110</f>
        <v>1724.8682530960912</v>
      </c>
      <c r="K110" s="149">
        <f t="shared" si="13"/>
        <v>30.21443790440776</v>
      </c>
      <c r="L110" s="152">
        <f t="shared" si="14"/>
        <v>1.7829268511097167E-2</v>
      </c>
      <c r="M110" s="347">
        <f>'[3]T2 PF2012'!$P110</f>
        <v>78.933655955482678</v>
      </c>
      <c r="N110" s="350">
        <f t="shared" si="15"/>
        <v>1.0569903117376902</v>
      </c>
      <c r="O110" s="333">
        <f>'B7 Performance corr fusions'!N110/'B7 Performance corr fusions'!E110</f>
        <v>1711.0912018996407</v>
      </c>
      <c r="P110" s="321">
        <f>'B7 Performance corr fusions'!T110/'B7 Performance corr fusions'!E110</f>
        <v>1739.3155299581072</v>
      </c>
      <c r="Q110" s="149">
        <f t="shared" si="16"/>
        <v>28.224328058466426</v>
      </c>
      <c r="R110" s="336">
        <f t="shared" si="17"/>
        <v>1.6494929099706658E-2</v>
      </c>
      <c r="S110" s="162"/>
      <c r="T110" s="162"/>
    </row>
    <row r="111" spans="1:20" ht="13.8" x14ac:dyDescent="0.25">
      <c r="A111" s="96">
        <v>2226</v>
      </c>
      <c r="B111" s="97" t="s">
        <v>198</v>
      </c>
      <c r="C111" s="104">
        <f>'B7 Performance corr fusions'!J111/'B7 Performance corr fusions'!C111</f>
        <v>1738.7096686612601</v>
      </c>
      <c r="D111" s="104">
        <f>'B7 Performance corr fusions'!R111/'B7 Performance corr fusions'!C111</f>
        <v>1779.8104791871883</v>
      </c>
      <c r="E111" s="143">
        <f t="shared" si="12"/>
        <v>41.100810525928182</v>
      </c>
      <c r="F111" s="147">
        <f t="shared" si="18"/>
        <v>2.3638685208194784E-2</v>
      </c>
      <c r="G111" s="175">
        <f>'[2]T1  PF2011'!P111</f>
        <v>69.964609676500928</v>
      </c>
      <c r="H111" s="157">
        <f t="shared" si="19"/>
        <v>1.6308252023550902</v>
      </c>
      <c r="I111" s="159">
        <f>'B7 Performance corr fusions'!L111/'B7 Performance corr fusions'!D111</f>
        <v>1890.1432922590848</v>
      </c>
      <c r="J111" s="98">
        <f>'B7 Performance corr fusions'!S111/'B7 Performance corr fusions'!D111</f>
        <v>1943.4184116536087</v>
      </c>
      <c r="K111" s="149">
        <f t="shared" si="13"/>
        <v>53.275119394523927</v>
      </c>
      <c r="L111" s="152">
        <f t="shared" si="14"/>
        <v>2.818575692790461E-2</v>
      </c>
      <c r="M111" s="347">
        <f>'[3]T2 PF2012'!$P111</f>
        <v>68.475363380075223</v>
      </c>
      <c r="N111" s="350">
        <f t="shared" si="15"/>
        <v>2.1483685784611581</v>
      </c>
      <c r="O111" s="333">
        <f>'B7 Performance corr fusions'!N111/'B7 Performance corr fusions'!E111</f>
        <v>1911.2835197861264</v>
      </c>
      <c r="P111" s="321">
        <f>'B7 Performance corr fusions'!T111/'B7 Performance corr fusions'!E111</f>
        <v>1963.9472698790594</v>
      </c>
      <c r="Q111" s="149">
        <f t="shared" si="16"/>
        <v>52.663750092933014</v>
      </c>
      <c r="R111" s="336">
        <f t="shared" si="17"/>
        <v>2.75541276570135E-2</v>
      </c>
      <c r="S111" s="162"/>
      <c r="T111" s="162"/>
    </row>
    <row r="112" spans="1:20" ht="13.8" x14ac:dyDescent="0.25">
      <c r="A112" s="96">
        <v>2228</v>
      </c>
      <c r="B112" s="97" t="s">
        <v>200</v>
      </c>
      <c r="C112" s="104">
        <f>'B7 Performance corr fusions'!J112/'B7 Performance corr fusions'!C112</f>
        <v>1915.3644956412734</v>
      </c>
      <c r="D112" s="104">
        <f>'B7 Performance corr fusions'!R112/'B7 Performance corr fusions'!C112</f>
        <v>1972.4369890640789</v>
      </c>
      <c r="E112" s="143">
        <f t="shared" si="12"/>
        <v>57.072493422805564</v>
      </c>
      <c r="F112" s="147">
        <f t="shared" si="18"/>
        <v>2.9797197114535327E-2</v>
      </c>
      <c r="G112" s="175">
        <f>'[2]T1  PF2011'!P112</f>
        <v>167.35098243269039</v>
      </c>
      <c r="H112" s="157">
        <f t="shared" si="19"/>
        <v>0.94674718823029236</v>
      </c>
      <c r="I112" s="159">
        <f>'B7 Performance corr fusions'!L112/'B7 Performance corr fusions'!D112</f>
        <v>1969.1859689072755</v>
      </c>
      <c r="J112" s="98">
        <f>'B7 Performance corr fusions'!S112/'B7 Performance corr fusions'!D112</f>
        <v>2028.918025893716</v>
      </c>
      <c r="K112" s="149">
        <f t="shared" si="13"/>
        <v>59.732056986440512</v>
      </c>
      <c r="L112" s="152">
        <f t="shared" si="14"/>
        <v>3.0333375277697378E-2</v>
      </c>
      <c r="M112" s="347">
        <f>'[3]T2 PF2012'!$P112</f>
        <v>167.87999713497524</v>
      </c>
      <c r="N112" s="350">
        <f t="shared" si="15"/>
        <v>0.98248792934224149</v>
      </c>
      <c r="O112" s="333">
        <f>'B7 Performance corr fusions'!N112/'B7 Performance corr fusions'!E112</f>
        <v>1979.6201131466648</v>
      </c>
      <c r="P112" s="321">
        <f>'B7 Performance corr fusions'!T112/'B7 Performance corr fusions'!E112</f>
        <v>2038.583413501136</v>
      </c>
      <c r="Q112" s="149">
        <f t="shared" si="16"/>
        <v>58.96330035447113</v>
      </c>
      <c r="R112" s="336">
        <f t="shared" si="17"/>
        <v>2.9785159265101231E-2</v>
      </c>
      <c r="S112" s="162"/>
      <c r="T112" s="162"/>
    </row>
    <row r="113" spans="1:20" ht="13.8" x14ac:dyDescent="0.25">
      <c r="A113" s="96">
        <v>2230</v>
      </c>
      <c r="B113" s="97" t="s">
        <v>202</v>
      </c>
      <c r="C113" s="104">
        <f>'B7 Performance corr fusions'!J113/'B7 Performance corr fusions'!C113</f>
        <v>1913.4742202553</v>
      </c>
      <c r="D113" s="104">
        <f>'B7 Performance corr fusions'!R113/'B7 Performance corr fusions'!C113</f>
        <v>1977.8569992645619</v>
      </c>
      <c r="E113" s="143">
        <f t="shared" si="12"/>
        <v>64.382779009261867</v>
      </c>
      <c r="F113" s="147">
        <f t="shared" si="18"/>
        <v>3.3647058490640008E-2</v>
      </c>
      <c r="G113" s="175">
        <f>'[2]T1  PF2011'!P113</f>
        <v>67.368493027946357</v>
      </c>
      <c r="H113" s="157">
        <f t="shared" si="19"/>
        <v>2.6530676821359078</v>
      </c>
      <c r="I113" s="159">
        <f>'B7 Performance corr fusions'!L113/'B7 Performance corr fusions'!D113</f>
        <v>1637.6654568047063</v>
      </c>
      <c r="J113" s="98">
        <f>'B7 Performance corr fusions'!S113/'B7 Performance corr fusions'!D113</f>
        <v>1668.7601470531069</v>
      </c>
      <c r="K113" s="149">
        <f t="shared" si="13"/>
        <v>31.094690248400639</v>
      </c>
      <c r="L113" s="152">
        <f t="shared" si="14"/>
        <v>1.8987205304476736E-2</v>
      </c>
      <c r="M113" s="347">
        <f>'[3]T2 PF2012'!$P113</f>
        <v>65.792717185669503</v>
      </c>
      <c r="N113" s="350">
        <f t="shared" si="15"/>
        <v>1.3050499006740466</v>
      </c>
      <c r="O113" s="333">
        <f>'B7 Performance corr fusions'!N113/'B7 Performance corr fusions'!E113</f>
        <v>1604.7501845553043</v>
      </c>
      <c r="P113" s="321">
        <f>'B7 Performance corr fusions'!T113/'B7 Performance corr fusions'!E113</f>
        <v>1629.3502791203555</v>
      </c>
      <c r="Q113" s="149">
        <f t="shared" si="16"/>
        <v>24.600094565051222</v>
      </c>
      <c r="R113" s="336">
        <f t="shared" si="17"/>
        <v>1.5329547740085294E-2</v>
      </c>
      <c r="S113" s="162"/>
      <c r="T113" s="162"/>
    </row>
    <row r="114" spans="1:20" ht="13.8" x14ac:dyDescent="0.25">
      <c r="A114" s="96">
        <v>2231</v>
      </c>
      <c r="B114" s="97" t="s">
        <v>204</v>
      </c>
      <c r="C114" s="104">
        <f>'B7 Performance corr fusions'!J114/'B7 Performance corr fusions'!C114</f>
        <v>1835.8010862135045</v>
      </c>
      <c r="D114" s="104">
        <f>'B7 Performance corr fusions'!R114/'B7 Performance corr fusions'!C114</f>
        <v>1884.3610497848611</v>
      </c>
      <c r="E114" s="143">
        <f t="shared" si="12"/>
        <v>48.559963571356548</v>
      </c>
      <c r="F114" s="147">
        <f t="shared" si="18"/>
        <v>2.6451647695402335E-2</v>
      </c>
      <c r="G114" s="175">
        <f>'[2]T1  PF2011'!P114</f>
        <v>74.328811533010324</v>
      </c>
      <c r="H114" s="157">
        <f t="shared" si="19"/>
        <v>1.8136630575386015</v>
      </c>
      <c r="I114" s="159">
        <f>'B7 Performance corr fusions'!L114/'B7 Performance corr fusions'!D114</f>
        <v>1832.0963265955693</v>
      </c>
      <c r="J114" s="98">
        <f>'B7 Performance corr fusions'!S114/'B7 Performance corr fusions'!D114</f>
        <v>1874.4599013976685</v>
      </c>
      <c r="K114" s="149">
        <f t="shared" si="13"/>
        <v>42.363574802099265</v>
      </c>
      <c r="L114" s="152">
        <f t="shared" si="14"/>
        <v>2.3123006245430303E-2</v>
      </c>
      <c r="M114" s="347">
        <f>'[3]T2 PF2012'!$P114</f>
        <v>72.949794055103695</v>
      </c>
      <c r="N114" s="350">
        <f t="shared" si="15"/>
        <v>1.6035674644102846</v>
      </c>
      <c r="O114" s="333">
        <f>'B7 Performance corr fusions'!N114/'B7 Performance corr fusions'!E114</f>
        <v>1825.4613229025258</v>
      </c>
      <c r="P114" s="321">
        <f>'B7 Performance corr fusions'!T114/'B7 Performance corr fusions'!E114</f>
        <v>1863.9640535084768</v>
      </c>
      <c r="Q114" s="149">
        <f t="shared" si="16"/>
        <v>38.502730605951001</v>
      </c>
      <c r="R114" s="336">
        <f t="shared" si="17"/>
        <v>2.1092054990642456E-2</v>
      </c>
      <c r="S114" s="162"/>
      <c r="T114" s="162"/>
    </row>
    <row r="115" spans="1:20" ht="13.8" x14ac:dyDescent="0.25">
      <c r="A115" s="96">
        <v>2233</v>
      </c>
      <c r="B115" s="97" t="s">
        <v>205</v>
      </c>
      <c r="C115" s="104">
        <f>'B7 Performance corr fusions'!J115/'B7 Performance corr fusions'!C115</f>
        <v>1608.4525102460357</v>
      </c>
      <c r="D115" s="104">
        <f>'B7 Performance corr fusions'!R115/'B7 Performance corr fusions'!C115</f>
        <v>1638.1247099781019</v>
      </c>
      <c r="E115" s="143">
        <f t="shared" si="12"/>
        <v>29.672199732066247</v>
      </c>
      <c r="F115" s="147">
        <f t="shared" si="18"/>
        <v>1.8447669137292379E-2</v>
      </c>
      <c r="G115" s="175">
        <f>'[2]T1  PF2011'!P115</f>
        <v>85.681272525831076</v>
      </c>
      <c r="H115" s="157">
        <f t="shared" si="19"/>
        <v>0.96138928887095176</v>
      </c>
      <c r="I115" s="159">
        <f>'B7 Performance corr fusions'!L115/'B7 Performance corr fusions'!D115</f>
        <v>1852.0334303037064</v>
      </c>
      <c r="J115" s="98">
        <f>'B7 Performance corr fusions'!S115/'B7 Performance corr fusions'!D115</f>
        <v>1899.1914572248045</v>
      </c>
      <c r="K115" s="149">
        <f t="shared" si="13"/>
        <v>47.158026921098099</v>
      </c>
      <c r="L115" s="152">
        <f t="shared" si="14"/>
        <v>2.5462837845947994E-2</v>
      </c>
      <c r="M115" s="347">
        <f>'[3]T2 PF2012'!$P115</f>
        <v>89.416550625621454</v>
      </c>
      <c r="N115" s="350">
        <f t="shared" si="15"/>
        <v>1.456318677787078</v>
      </c>
      <c r="O115" s="333">
        <f>'B7 Performance corr fusions'!N115/'B7 Performance corr fusions'!E115</f>
        <v>1885.5903880787698</v>
      </c>
      <c r="P115" s="321">
        <f>'B7 Performance corr fusions'!T115/'B7 Performance corr fusions'!E115</f>
        <v>1932.3777721865579</v>
      </c>
      <c r="Q115" s="149">
        <f t="shared" si="16"/>
        <v>46.787384107788057</v>
      </c>
      <c r="R115" s="336">
        <f t="shared" si="17"/>
        <v>2.4813121876093025E-2</v>
      </c>
      <c r="S115" s="162"/>
      <c r="T115" s="162"/>
    </row>
    <row r="116" spans="1:20" ht="13.8" x14ac:dyDescent="0.25">
      <c r="A116" s="96">
        <v>2234</v>
      </c>
      <c r="B116" s="97" t="s">
        <v>206</v>
      </c>
      <c r="C116" s="104">
        <f>'B7 Performance corr fusions'!J116/'B7 Performance corr fusions'!C116</f>
        <v>1533.8725541085598</v>
      </c>
      <c r="D116" s="104">
        <f>'B7 Performance corr fusions'!R116/'B7 Performance corr fusions'!C116</f>
        <v>1558.4976096193523</v>
      </c>
      <c r="E116" s="143">
        <f t="shared" si="12"/>
        <v>24.625055510792436</v>
      </c>
      <c r="F116" s="147">
        <f t="shared" si="18"/>
        <v>1.605417310899325E-2</v>
      </c>
      <c r="G116" s="175">
        <f>'[2]T1  PF2011'!P116</f>
        <v>83.591343391035878</v>
      </c>
      <c r="H116" s="157">
        <f t="shared" si="19"/>
        <v>0.81780800419393429</v>
      </c>
      <c r="I116" s="159">
        <f>'B7 Performance corr fusions'!L116/'B7 Performance corr fusions'!D116</f>
        <v>1812.3356574335214</v>
      </c>
      <c r="J116" s="98">
        <f>'B7 Performance corr fusions'!S116/'B7 Performance corr fusions'!D116</f>
        <v>1856.5799103751713</v>
      </c>
      <c r="K116" s="149">
        <f t="shared" si="13"/>
        <v>44.244252941649847</v>
      </c>
      <c r="L116" s="152">
        <f t="shared" si="14"/>
        <v>2.4412835867449006E-2</v>
      </c>
      <c r="M116" s="347">
        <f>'[3]T2 PF2012'!$P116</f>
        <v>83.322397081694248</v>
      </c>
      <c r="N116" s="350">
        <f t="shared" si="15"/>
        <v>1.4662695535198369</v>
      </c>
      <c r="O116" s="333">
        <f>'B7 Performance corr fusions'!N116/'B7 Performance corr fusions'!E116</f>
        <v>1849.9054829296638</v>
      </c>
      <c r="P116" s="321">
        <f>'B7 Performance corr fusions'!T116/'B7 Performance corr fusions'!E116</f>
        <v>1894.6425484461777</v>
      </c>
      <c r="Q116" s="149">
        <f t="shared" si="16"/>
        <v>44.737065516513894</v>
      </c>
      <c r="R116" s="336">
        <f t="shared" si="17"/>
        <v>2.4183433115547378E-2</v>
      </c>
      <c r="S116" s="162"/>
      <c r="T116" s="162"/>
    </row>
    <row r="117" spans="1:20" ht="13.8" x14ac:dyDescent="0.25">
      <c r="A117" s="96">
        <v>2235</v>
      </c>
      <c r="B117" s="97" t="s">
        <v>176</v>
      </c>
      <c r="C117" s="104">
        <f>'B7 Performance corr fusions'!J117/'B7 Performance corr fusions'!C117</f>
        <v>1638.6969164216021</v>
      </c>
      <c r="D117" s="104">
        <f>'B7 Performance corr fusions'!R117/'B7 Performance corr fusions'!C117</f>
        <v>1670.7743841345687</v>
      </c>
      <c r="E117" s="143">
        <f t="shared" si="12"/>
        <v>32.077467712966609</v>
      </c>
      <c r="F117" s="147">
        <f t="shared" si="18"/>
        <v>1.9574985094262393E-2</v>
      </c>
      <c r="G117" s="175">
        <f>'[2]T1  PF2011'!P117</f>
        <v>84.924119493453517</v>
      </c>
      <c r="H117" s="157">
        <f t="shared" si="19"/>
        <v>1.0485869953432787</v>
      </c>
      <c r="I117" s="159">
        <f>'B7 Performance corr fusions'!L117/'B7 Performance corr fusions'!D117</f>
        <v>1883.4387795076757</v>
      </c>
      <c r="J117" s="98">
        <f>'B7 Performance corr fusions'!S117/'B7 Performance corr fusions'!D117</f>
        <v>1936.4862082131694</v>
      </c>
      <c r="K117" s="149">
        <f t="shared" si="13"/>
        <v>53.047428705493758</v>
      </c>
      <c r="L117" s="152">
        <f t="shared" si="14"/>
        <v>2.8165199359100043E-2</v>
      </c>
      <c r="M117" s="347">
        <f>'[3]T2 PF2012'!$P117</f>
        <v>88.418436602194262</v>
      </c>
      <c r="N117" s="350">
        <f t="shared" si="15"/>
        <v>1.6566860375735279</v>
      </c>
      <c r="O117" s="333">
        <f>'B7 Performance corr fusions'!N117/'B7 Performance corr fusions'!E117</f>
        <v>1913.0677650435814</v>
      </c>
      <c r="P117" s="321">
        <f>'B7 Performance corr fusions'!T117/'B7 Performance corr fusions'!E117</f>
        <v>1965.015028356592</v>
      </c>
      <c r="Q117" s="149">
        <f t="shared" si="16"/>
        <v>51.947263313010581</v>
      </c>
      <c r="R117" s="336">
        <f t="shared" si="17"/>
        <v>2.7153906548536284E-2</v>
      </c>
      <c r="S117" s="162"/>
      <c r="T117" s="162"/>
    </row>
    <row r="118" spans="1:20" ht="13.8" x14ac:dyDescent="0.25">
      <c r="A118" s="96">
        <v>2243</v>
      </c>
      <c r="B118" s="97" t="s">
        <v>382</v>
      </c>
      <c r="C118" s="104">
        <f>'B7 Performance corr fusions'!J118/'B7 Performance corr fusions'!C118</f>
        <v>1616.8728278744604</v>
      </c>
      <c r="D118" s="104">
        <f>'B7 Performance corr fusions'!R118/'B7 Performance corr fusions'!C118</f>
        <v>1648.5285402697523</v>
      </c>
      <c r="E118" s="143">
        <f t="shared" si="12"/>
        <v>31.655712395291857</v>
      </c>
      <c r="F118" s="147">
        <f t="shared" si="18"/>
        <v>1.9578356349092975E-2</v>
      </c>
      <c r="G118" s="175">
        <f>'[2]T1  PF2011'!P118</f>
        <v>87.294590698336549</v>
      </c>
      <c r="H118" s="157">
        <f t="shared" si="19"/>
        <v>1.0067003091703861</v>
      </c>
      <c r="I118" s="159">
        <f>'B7 Performance corr fusions'!L118/'B7 Performance corr fusions'!D118</f>
        <v>1676.481056944443</v>
      </c>
      <c r="J118" s="98">
        <f>'B7 Performance corr fusions'!S118/'B7 Performance corr fusions'!D118</f>
        <v>1709.1960756888163</v>
      </c>
      <c r="K118" s="149">
        <f t="shared" si="13"/>
        <v>32.71501874437331</v>
      </c>
      <c r="L118" s="152">
        <f t="shared" si="14"/>
        <v>1.9514099851506674E-2</v>
      </c>
      <c r="M118" s="347">
        <f>'[3]T2 PF2012'!$P118</f>
        <v>87.988245321734709</v>
      </c>
      <c r="N118" s="350">
        <f t="shared" si="15"/>
        <v>1.0266944686585753</v>
      </c>
      <c r="O118" s="333">
        <f>'B7 Performance corr fusions'!N118/'B7 Performance corr fusions'!E118</f>
        <v>1724.2946168048099</v>
      </c>
      <c r="P118" s="321">
        <f>'B7 Performance corr fusions'!T118/'B7 Performance corr fusions'!E118</f>
        <v>1758.5607814093723</v>
      </c>
      <c r="Q118" s="149">
        <f t="shared" si="16"/>
        <v>34.266164604562391</v>
      </c>
      <c r="R118" s="336">
        <f t="shared" si="17"/>
        <v>1.9872569496307439E-2</v>
      </c>
      <c r="S118" s="162"/>
      <c r="T118" s="162"/>
    </row>
    <row r="119" spans="1:20" ht="13.8" x14ac:dyDescent="0.25">
      <c r="A119" s="96">
        <v>2250</v>
      </c>
      <c r="B119" s="97" t="s">
        <v>211</v>
      </c>
      <c r="C119" s="104">
        <f>'B7 Performance corr fusions'!J119/'B7 Performance corr fusions'!C119</f>
        <v>1691.4527840119376</v>
      </c>
      <c r="D119" s="104">
        <f>'B7 Performance corr fusions'!R119/'B7 Performance corr fusions'!C119</f>
        <v>1725.921501111844</v>
      </c>
      <c r="E119" s="143">
        <f t="shared" si="12"/>
        <v>34.468717099906371</v>
      </c>
      <c r="F119" s="147">
        <f t="shared" si="18"/>
        <v>2.0378172790700318E-2</v>
      </c>
      <c r="G119" s="175">
        <f>'[2]T1  PF2011'!P119</f>
        <v>102.0552021674626</v>
      </c>
      <c r="H119" s="157">
        <f t="shared" si="19"/>
        <v>0.93761687635012148</v>
      </c>
      <c r="I119" s="159">
        <f>'B7 Performance corr fusions'!L119/'B7 Performance corr fusions'!D119</f>
        <v>1835.9778866095428</v>
      </c>
      <c r="J119" s="98">
        <f>'B7 Performance corr fusions'!S119/'B7 Performance corr fusions'!D119</f>
        <v>1880.6282842187202</v>
      </c>
      <c r="K119" s="149">
        <f t="shared" si="13"/>
        <v>44.650397609177389</v>
      </c>
      <c r="L119" s="152">
        <f t="shared" si="14"/>
        <v>2.4319681590300759E-2</v>
      </c>
      <c r="M119" s="347">
        <f>'[3]T2 PF2012'!$P119</f>
        <v>98.20109363249847</v>
      </c>
      <c r="N119" s="350">
        <f t="shared" si="15"/>
        <v>1.2555317856462254</v>
      </c>
      <c r="O119" s="333">
        <f>'B7 Performance corr fusions'!N119/'B7 Performance corr fusions'!E119</f>
        <v>1838.6647378076952</v>
      </c>
      <c r="P119" s="321">
        <f>'B7 Performance corr fusions'!T119/'B7 Performance corr fusions'!E119</f>
        <v>1883.1810104237059</v>
      </c>
      <c r="Q119" s="149">
        <f t="shared" si="16"/>
        <v>44.51627261601061</v>
      </c>
      <c r="R119" s="336">
        <f t="shared" si="17"/>
        <v>2.421119614720459E-2</v>
      </c>
      <c r="S119" s="162"/>
      <c r="T119" s="162"/>
    </row>
    <row r="120" spans="1:20" ht="13.8" x14ac:dyDescent="0.25">
      <c r="A120" s="96">
        <v>2251</v>
      </c>
      <c r="B120" s="97" t="s">
        <v>213</v>
      </c>
      <c r="C120" s="104">
        <f>'B7 Performance corr fusions'!J120/'B7 Performance corr fusions'!C120</f>
        <v>1629.5892259255509</v>
      </c>
      <c r="D120" s="104">
        <f>'B7 Performance corr fusions'!R120/'B7 Performance corr fusions'!C120</f>
        <v>1660.7174774872219</v>
      </c>
      <c r="E120" s="143">
        <f t="shared" si="12"/>
        <v>31.12825156167105</v>
      </c>
      <c r="F120" s="147">
        <f t="shared" si="18"/>
        <v>1.9101900691563097E-2</v>
      </c>
      <c r="G120" s="175">
        <f>'[2]T1  PF2011'!P120</f>
        <v>85.504478429433405</v>
      </c>
      <c r="H120" s="157">
        <f t="shared" si="19"/>
        <v>1.0106512299068853</v>
      </c>
      <c r="I120" s="159">
        <f>'B7 Performance corr fusions'!L120/'B7 Performance corr fusions'!D120</f>
        <v>1488.9311344510793</v>
      </c>
      <c r="J120" s="98">
        <f>'B7 Performance corr fusions'!S120/'B7 Performance corr fusions'!D120</f>
        <v>1509.7138646503297</v>
      </c>
      <c r="K120" s="149">
        <f t="shared" si="13"/>
        <v>20.782730199250409</v>
      </c>
      <c r="L120" s="152">
        <f t="shared" si="14"/>
        <v>1.3958154086765288E-2</v>
      </c>
      <c r="M120" s="347">
        <f>'[3]T2 PF2012'!$P120</f>
        <v>89.632203619614074</v>
      </c>
      <c r="N120" s="350">
        <f t="shared" si="15"/>
        <v>0.64026126993952592</v>
      </c>
      <c r="O120" s="333">
        <f>'B7 Performance corr fusions'!N120/'B7 Performance corr fusions'!E120</f>
        <v>1474.8571298125576</v>
      </c>
      <c r="P120" s="321">
        <f>'B7 Performance corr fusions'!T120/'B7 Performance corr fusions'!E120</f>
        <v>1493.0607385770611</v>
      </c>
      <c r="Q120" s="149">
        <f t="shared" si="16"/>
        <v>18.203608764503542</v>
      </c>
      <c r="R120" s="336">
        <f t="shared" si="17"/>
        <v>1.234262519164624E-2</v>
      </c>
      <c r="S120" s="162"/>
      <c r="T120" s="162"/>
    </row>
    <row r="121" spans="1:20" ht="13.8" x14ac:dyDescent="0.25">
      <c r="A121" s="96">
        <v>2254</v>
      </c>
      <c r="B121" s="97" t="s">
        <v>215</v>
      </c>
      <c r="C121" s="104">
        <f>'B7 Performance corr fusions'!J121/'B7 Performance corr fusions'!C121</f>
        <v>1832.7079083091851</v>
      </c>
      <c r="D121" s="104">
        <f>'B7 Performance corr fusions'!R121/'B7 Performance corr fusions'!C121</f>
        <v>1880.5472334753065</v>
      </c>
      <c r="E121" s="143">
        <f t="shared" si="12"/>
        <v>47.839325166121398</v>
      </c>
      <c r="F121" s="147">
        <f t="shared" si="18"/>
        <v>2.6103082192872121E-2</v>
      </c>
      <c r="G121" s="175">
        <f>'[2]T1  PF2011'!P121</f>
        <v>75.815786970919802</v>
      </c>
      <c r="H121" s="157">
        <f t="shared" si="19"/>
        <v>1.751704480866328</v>
      </c>
      <c r="I121" s="159">
        <f>'B7 Performance corr fusions'!L121/'B7 Performance corr fusions'!D121</f>
        <v>1994.4161089981042</v>
      </c>
      <c r="J121" s="98">
        <f>'B7 Performance corr fusions'!S121/'B7 Performance corr fusions'!D121</f>
        <v>2055.6112564495106</v>
      </c>
      <c r="K121" s="149">
        <f t="shared" si="13"/>
        <v>61.195147451406456</v>
      </c>
      <c r="L121" s="152">
        <f t="shared" si="14"/>
        <v>3.0683239658622626E-2</v>
      </c>
      <c r="M121" s="347">
        <f>'[3]T2 PF2012'!$P121</f>
        <v>74.745461415527288</v>
      </c>
      <c r="N121" s="350">
        <f t="shared" si="15"/>
        <v>2.260741278827342</v>
      </c>
      <c r="O121" s="333">
        <f>'B7 Performance corr fusions'!N121/'B7 Performance corr fusions'!E121</f>
        <v>2007.2759146372216</v>
      </c>
      <c r="P121" s="321">
        <f>'B7 Performance corr fusions'!T121/'B7 Performance corr fusions'!E121</f>
        <v>2067.1450799145732</v>
      </c>
      <c r="Q121" s="149">
        <f t="shared" si="16"/>
        <v>59.869165277351613</v>
      </c>
      <c r="R121" s="336">
        <f t="shared" si="17"/>
        <v>2.982607664486019E-2</v>
      </c>
      <c r="S121" s="162"/>
      <c r="T121" s="162"/>
    </row>
    <row r="122" spans="1:20" ht="13.8" x14ac:dyDescent="0.25">
      <c r="A122" s="96">
        <v>2257</v>
      </c>
      <c r="B122" s="97" t="s">
        <v>217</v>
      </c>
      <c r="C122" s="104">
        <f>'B7 Performance corr fusions'!J122/'B7 Performance corr fusions'!C122</f>
        <v>1797.1363624095131</v>
      </c>
      <c r="D122" s="104">
        <f>'B7 Performance corr fusions'!R122/'B7 Performance corr fusions'!C122</f>
        <v>1845.3071490273728</v>
      </c>
      <c r="E122" s="143">
        <f t="shared" si="12"/>
        <v>48.170786617859676</v>
      </c>
      <c r="F122" s="147">
        <f t="shared" si="18"/>
        <v>2.6804191170710399E-2</v>
      </c>
      <c r="G122" s="175">
        <f>'[2]T1  PF2011'!P122</f>
        <v>275.45881999329185</v>
      </c>
      <c r="H122" s="157">
        <f t="shared" si="19"/>
        <v>0.48547011350581742</v>
      </c>
      <c r="I122" s="159">
        <f>'B7 Performance corr fusions'!L122/'B7 Performance corr fusions'!D122</f>
        <v>1823.2745992910836</v>
      </c>
      <c r="J122" s="98">
        <f>'B7 Performance corr fusions'!S122/'B7 Performance corr fusions'!D122</f>
        <v>1868.6841702549571</v>
      </c>
      <c r="K122" s="149">
        <f t="shared" si="13"/>
        <v>45.409570963873421</v>
      </c>
      <c r="L122" s="152">
        <f t="shared" si="14"/>
        <v>2.4905502978832338E-2</v>
      </c>
      <c r="M122" s="347">
        <f>'[3]T2 PF2012'!$P122</f>
        <v>254.55260962662805</v>
      </c>
      <c r="N122" s="350">
        <f t="shared" si="15"/>
        <v>0.49259335698321938</v>
      </c>
      <c r="O122" s="333">
        <f>'B7 Performance corr fusions'!N122/'B7 Performance corr fusions'!E122</f>
        <v>1844.9095962087888</v>
      </c>
      <c r="P122" s="321">
        <f>'B7 Performance corr fusions'!T122/'B7 Performance corr fusions'!E122</f>
        <v>1889.3212549435468</v>
      </c>
      <c r="Q122" s="149">
        <f t="shared" si="16"/>
        <v>44.411658734758021</v>
      </c>
      <c r="R122" s="336">
        <f t="shared" si="17"/>
        <v>2.4072539286489756E-2</v>
      </c>
      <c r="S122" s="162"/>
      <c r="T122" s="162"/>
    </row>
    <row r="123" spans="1:20" ht="13.8" x14ac:dyDescent="0.25">
      <c r="A123" s="96">
        <v>2258</v>
      </c>
      <c r="B123" s="97" t="s">
        <v>219</v>
      </c>
      <c r="C123" s="104">
        <f>'B7 Performance corr fusions'!J123/'B7 Performance corr fusions'!C123</f>
        <v>1935.1264655855355</v>
      </c>
      <c r="D123" s="104">
        <f>'B7 Performance corr fusions'!R123/'B7 Performance corr fusions'!C123</f>
        <v>1999.9920733510053</v>
      </c>
      <c r="E123" s="143">
        <f t="shared" si="12"/>
        <v>64.865607765469804</v>
      </c>
      <c r="F123" s="147">
        <f t="shared" si="18"/>
        <v>3.3520087146264421E-2</v>
      </c>
      <c r="G123" s="175">
        <f>'[2]T1  PF2011'!P123</f>
        <v>98.886810088019246</v>
      </c>
      <c r="H123" s="157">
        <f t="shared" si="19"/>
        <v>1.8210067999733219</v>
      </c>
      <c r="I123" s="159">
        <f>'B7 Performance corr fusions'!L123/'B7 Performance corr fusions'!D123</f>
        <v>1672.4230623843803</v>
      </c>
      <c r="J123" s="98">
        <f>'B7 Performance corr fusions'!S123/'B7 Performance corr fusions'!D123</f>
        <v>1706.9384138946409</v>
      </c>
      <c r="K123" s="149">
        <f t="shared" si="13"/>
        <v>34.515351510260643</v>
      </c>
      <c r="L123" s="152">
        <f t="shared" si="14"/>
        <v>2.0637930848102493E-2</v>
      </c>
      <c r="M123" s="347">
        <f>'[3]T2 PF2012'!$P123</f>
        <v>105.32116591130207</v>
      </c>
      <c r="N123" s="350">
        <f t="shared" si="15"/>
        <v>0.90493075486682661</v>
      </c>
      <c r="O123" s="333">
        <f>'B7 Performance corr fusions'!N123/'B7 Performance corr fusions'!E123</f>
        <v>1677.1905420079897</v>
      </c>
      <c r="P123" s="321">
        <f>'B7 Performance corr fusions'!T123/'B7 Performance corr fusions'!E123</f>
        <v>1710.1365698319219</v>
      </c>
      <c r="Q123" s="149">
        <f t="shared" si="16"/>
        <v>32.946027823932127</v>
      </c>
      <c r="R123" s="336">
        <f t="shared" si="17"/>
        <v>1.9643580737396728E-2</v>
      </c>
      <c r="S123" s="162"/>
      <c r="T123" s="162"/>
    </row>
    <row r="124" spans="1:20" ht="13.8" x14ac:dyDescent="0.25">
      <c r="A124" s="96">
        <v>2259</v>
      </c>
      <c r="B124" s="97" t="s">
        <v>221</v>
      </c>
      <c r="C124" s="104">
        <f>'B7 Performance corr fusions'!J124/'B7 Performance corr fusions'!C124</f>
        <v>1513.9387409473904</v>
      </c>
      <c r="D124" s="104">
        <f>'B7 Performance corr fusions'!R124/'B7 Performance corr fusions'!C124</f>
        <v>1538.0737314449655</v>
      </c>
      <c r="E124" s="143">
        <f t="shared" si="12"/>
        <v>24.134990497575018</v>
      </c>
      <c r="F124" s="147">
        <f t="shared" si="18"/>
        <v>1.5941854082201411E-2</v>
      </c>
      <c r="G124" s="175">
        <f>'[2]T1  PF2011'!P124</f>
        <v>83.640284523153653</v>
      </c>
      <c r="H124" s="157">
        <f t="shared" si="19"/>
        <v>0.80106374037938322</v>
      </c>
      <c r="I124" s="159">
        <f>'B7 Performance corr fusions'!L124/'B7 Performance corr fusions'!D124</f>
        <v>1547.1545346606845</v>
      </c>
      <c r="J124" s="98">
        <f>'B7 Performance corr fusions'!S124/'B7 Performance corr fusions'!D124</f>
        <v>1570.2349341809863</v>
      </c>
      <c r="K124" s="149">
        <f t="shared" si="13"/>
        <v>23.080399520301853</v>
      </c>
      <c r="L124" s="152">
        <f t="shared" si="14"/>
        <v>1.4917966501234959E-2</v>
      </c>
      <c r="M124" s="347">
        <f>'[3]T2 PF2012'!$P124</f>
        <v>82.105094003131924</v>
      </c>
      <c r="N124" s="350">
        <f t="shared" si="15"/>
        <v>0.77623268423282854</v>
      </c>
      <c r="O124" s="333">
        <f>'B7 Performance corr fusions'!N124/'B7 Performance corr fusions'!E124</f>
        <v>1627.7669483764778</v>
      </c>
      <c r="P124" s="321">
        <f>'B7 Performance corr fusions'!T124/'B7 Performance corr fusions'!E124</f>
        <v>1654.3108914893412</v>
      </c>
      <c r="Q124" s="149">
        <f t="shared" si="16"/>
        <v>26.543943112863417</v>
      </c>
      <c r="R124" s="336">
        <f t="shared" si="17"/>
        <v>1.6306967738433403E-2</v>
      </c>
      <c r="S124" s="162"/>
      <c r="T124" s="162"/>
    </row>
    <row r="125" spans="1:20" ht="13.8" x14ac:dyDescent="0.25">
      <c r="A125" s="96">
        <v>2260</v>
      </c>
      <c r="B125" s="97" t="s">
        <v>223</v>
      </c>
      <c r="C125" s="104">
        <f>'B7 Performance corr fusions'!J125/'B7 Performance corr fusions'!C125</f>
        <v>1848.5174842645947</v>
      </c>
      <c r="D125" s="104">
        <f>'B7 Performance corr fusions'!R125/'B7 Performance corr fusions'!C125</f>
        <v>1902.3536054792562</v>
      </c>
      <c r="E125" s="143">
        <f t="shared" si="12"/>
        <v>53.836121214661489</v>
      </c>
      <c r="F125" s="147">
        <f t="shared" si="18"/>
        <v>2.9123944822236503E-2</v>
      </c>
      <c r="G125" s="175">
        <f>'[2]T1  PF2011'!P125</f>
        <v>79.61715727581516</v>
      </c>
      <c r="H125" s="157">
        <f t="shared" si="19"/>
        <v>1.8771653913971436</v>
      </c>
      <c r="I125" s="159">
        <f>'B7 Performance corr fusions'!L125/'B7 Performance corr fusions'!D125</f>
        <v>1601.4963748563157</v>
      </c>
      <c r="J125" s="98">
        <f>'B7 Performance corr fusions'!S125/'B7 Performance corr fusions'!D125</f>
        <v>1628.4813733374574</v>
      </c>
      <c r="K125" s="149">
        <f t="shared" si="13"/>
        <v>26.984998481141702</v>
      </c>
      <c r="L125" s="152">
        <f t="shared" si="14"/>
        <v>1.6849865478816811E-2</v>
      </c>
      <c r="M125" s="347">
        <f>'[3]T2 PF2012'!$P125</f>
        <v>76.073650135060802</v>
      </c>
      <c r="N125" s="350">
        <f t="shared" si="15"/>
        <v>0.97950543215186647</v>
      </c>
      <c r="O125" s="333">
        <f>'B7 Performance corr fusions'!N125/'B7 Performance corr fusions'!E125</f>
        <v>1595.8289582680277</v>
      </c>
      <c r="P125" s="321">
        <f>'B7 Performance corr fusions'!T125/'B7 Performance corr fusions'!E125</f>
        <v>1621.6202983000105</v>
      </c>
      <c r="Q125" s="149">
        <f t="shared" si="16"/>
        <v>25.791340031982827</v>
      </c>
      <c r="R125" s="336">
        <f t="shared" si="17"/>
        <v>1.6161719524111454E-2</v>
      </c>
      <c r="S125" s="162"/>
      <c r="T125" s="162"/>
    </row>
    <row r="126" spans="1:20" ht="13.8" x14ac:dyDescent="0.25">
      <c r="A126" s="96">
        <v>2261</v>
      </c>
      <c r="B126" s="97" t="s">
        <v>225</v>
      </c>
      <c r="C126" s="104">
        <f>'B7 Performance corr fusions'!J126/'B7 Performance corr fusions'!C126</f>
        <v>1623.4028701169125</v>
      </c>
      <c r="D126" s="104">
        <f>'B7 Performance corr fusions'!R126/'B7 Performance corr fusions'!C126</f>
        <v>1653.6754124078584</v>
      </c>
      <c r="E126" s="143">
        <f t="shared" si="12"/>
        <v>30.272542290945921</v>
      </c>
      <c r="F126" s="147">
        <f t="shared" si="18"/>
        <v>1.8647584557224411E-2</v>
      </c>
      <c r="G126" s="175">
        <f>'[2]T1  PF2011'!P126</f>
        <v>406.51348784723984</v>
      </c>
      <c r="H126" s="157">
        <f t="shared" si="19"/>
        <v>0.20673279595354879</v>
      </c>
      <c r="I126" s="159">
        <f>'B7 Performance corr fusions'!L126/'B7 Performance corr fusions'!D126</f>
        <v>1583.6764857012549</v>
      </c>
      <c r="J126" s="98">
        <f>'B7 Performance corr fusions'!S126/'B7 Performance corr fusions'!D126</f>
        <v>1612.105425029566</v>
      </c>
      <c r="K126" s="149">
        <f t="shared" si="13"/>
        <v>28.428939328311117</v>
      </c>
      <c r="L126" s="152">
        <f t="shared" si="14"/>
        <v>1.7951229045193993E-2</v>
      </c>
      <c r="M126" s="347">
        <f>'[3]T2 PF2012'!$P126</f>
        <v>419.60868446151818</v>
      </c>
      <c r="N126" s="350">
        <f t="shared" si="15"/>
        <v>0.18708324507978202</v>
      </c>
      <c r="O126" s="333">
        <f>'B7 Performance corr fusions'!N126/'B7 Performance corr fusions'!E126</f>
        <v>1570.1358265606714</v>
      </c>
      <c r="P126" s="321">
        <f>'B7 Performance corr fusions'!T126/'B7 Performance corr fusions'!E126</f>
        <v>1592.6967438161307</v>
      </c>
      <c r="Q126" s="149">
        <f t="shared" si="16"/>
        <v>22.560917255459344</v>
      </c>
      <c r="R126" s="336">
        <f t="shared" si="17"/>
        <v>1.4368767894990498E-2</v>
      </c>
      <c r="S126" s="162"/>
      <c r="T126" s="162"/>
    </row>
    <row r="127" spans="1:20" ht="13.8" x14ac:dyDescent="0.25">
      <c r="A127" s="96">
        <v>2262</v>
      </c>
      <c r="B127" s="97" t="s">
        <v>383</v>
      </c>
      <c r="C127" s="104">
        <f>'B7 Performance corr fusions'!J127/'B7 Performance corr fusions'!C127</f>
        <v>1739.7407279626996</v>
      </c>
      <c r="D127" s="104">
        <f>'B7 Performance corr fusions'!R127/'B7 Performance corr fusions'!C127</f>
        <v>1781.3634127337334</v>
      </c>
      <c r="E127" s="143">
        <f t="shared" si="12"/>
        <v>41.622684771033846</v>
      </c>
      <c r="F127" s="147">
        <f t="shared" si="18"/>
        <v>2.3924648139826872E-2</v>
      </c>
      <c r="G127" s="175">
        <f>'[2]T1  PF2011'!P127</f>
        <v>82.989577253795616</v>
      </c>
      <c r="H127" s="157">
        <f t="shared" si="19"/>
        <v>1.3923293595923181</v>
      </c>
      <c r="I127" s="159">
        <f>'B7 Performance corr fusions'!L127/'B7 Performance corr fusions'!D127</f>
        <v>1725.8827298495623</v>
      </c>
      <c r="J127" s="98">
        <f>'B7 Performance corr fusions'!S127/'B7 Performance corr fusions'!D127</f>
        <v>1762.2557517059486</v>
      </c>
      <c r="K127" s="149">
        <f t="shared" si="13"/>
        <v>36.373021856386231</v>
      </c>
      <c r="L127" s="152">
        <f t="shared" si="14"/>
        <v>2.1075025102984087E-2</v>
      </c>
      <c r="M127" s="347">
        <f>'[3]T2 PF2012'!$P127</f>
        <v>82.362765235319543</v>
      </c>
      <c r="N127" s="350">
        <f t="shared" si="15"/>
        <v>1.2194589072095106</v>
      </c>
      <c r="O127" s="333">
        <f>'B7 Performance corr fusions'!N127/'B7 Performance corr fusions'!E127</f>
        <v>1754.0915126043137</v>
      </c>
      <c r="P127" s="321">
        <f>'B7 Performance corr fusions'!T127/'B7 Performance corr fusions'!E127</f>
        <v>1789.63006725734</v>
      </c>
      <c r="Q127" s="149">
        <f t="shared" si="16"/>
        <v>35.538554653026267</v>
      </c>
      <c r="R127" s="336">
        <f t="shared" si="17"/>
        <v>2.0260376609577167E-2</v>
      </c>
      <c r="S127" s="162"/>
      <c r="T127" s="162"/>
    </row>
    <row r="128" spans="1:20" ht="13.8" x14ac:dyDescent="0.25">
      <c r="A128" s="96">
        <v>2264</v>
      </c>
      <c r="B128" s="97" t="s">
        <v>228</v>
      </c>
      <c r="C128" s="104">
        <f>'B7 Performance corr fusions'!J128/'B7 Performance corr fusions'!C128</f>
        <v>1947.6710204197193</v>
      </c>
      <c r="D128" s="104">
        <f>'B7 Performance corr fusions'!R128/'B7 Performance corr fusions'!C128</f>
        <v>2013.1059100741102</v>
      </c>
      <c r="E128" s="143">
        <f t="shared" si="12"/>
        <v>65.434889654390872</v>
      </c>
      <c r="F128" s="147">
        <f t="shared" si="18"/>
        <v>3.3596479573993858E-2</v>
      </c>
      <c r="G128" s="175">
        <f>'[2]T1  PF2011'!P128</f>
        <v>79.986080872012366</v>
      </c>
      <c r="H128" s="157">
        <f t="shared" si="19"/>
        <v>2.2710693697831132</v>
      </c>
      <c r="I128" s="159">
        <f>'B7 Performance corr fusions'!L128/'B7 Performance corr fusions'!D128</f>
        <v>1817.9815629083923</v>
      </c>
      <c r="J128" s="98">
        <f>'B7 Performance corr fusions'!S128/'B7 Performance corr fusions'!D128</f>
        <v>1862.9299215343692</v>
      </c>
      <c r="K128" s="149">
        <f t="shared" si="13"/>
        <v>44.94835862597688</v>
      </c>
      <c r="L128" s="152">
        <f t="shared" si="14"/>
        <v>2.4724320390834359E-2</v>
      </c>
      <c r="M128" s="347">
        <f>'[3]T2 PF2012'!$P128</f>
        <v>87.749165493821423</v>
      </c>
      <c r="N128" s="350">
        <f t="shared" si="15"/>
        <v>1.4144563447905476</v>
      </c>
      <c r="O128" s="333">
        <f>'B7 Performance corr fusions'!N128/'B7 Performance corr fusions'!E128</f>
        <v>1847.0506905177351</v>
      </c>
      <c r="P128" s="321">
        <f>'B7 Performance corr fusions'!T128/'B7 Performance corr fusions'!E128</f>
        <v>1893.8388217082561</v>
      </c>
      <c r="Q128" s="149">
        <f t="shared" si="16"/>
        <v>46.788131190520971</v>
      </c>
      <c r="R128" s="336">
        <f t="shared" si="17"/>
        <v>2.5331265368470253E-2</v>
      </c>
      <c r="S128" s="162"/>
      <c r="T128" s="162"/>
    </row>
    <row r="129" spans="1:20" ht="13.8" x14ac:dyDescent="0.25">
      <c r="A129" s="96">
        <v>2265</v>
      </c>
      <c r="B129" s="97" t="s">
        <v>230</v>
      </c>
      <c r="C129" s="104">
        <f>'B7 Performance corr fusions'!J129/'B7 Performance corr fusions'!C129</f>
        <v>1804.5256207364982</v>
      </c>
      <c r="D129" s="104">
        <f>'B7 Performance corr fusions'!R129/'B7 Performance corr fusions'!C129</f>
        <v>1851.7883384814306</v>
      </c>
      <c r="E129" s="143">
        <f t="shared" si="12"/>
        <v>47.262717744932388</v>
      </c>
      <c r="F129" s="147">
        <f t="shared" si="18"/>
        <v>2.6191214578401279E-2</v>
      </c>
      <c r="G129" s="175">
        <f>'[2]T1  PF2011'!P129</f>
        <v>92.120133423552787</v>
      </c>
      <c r="H129" s="157">
        <f t="shared" si="19"/>
        <v>1.4242937757016554</v>
      </c>
      <c r="I129" s="159">
        <f>'B7 Performance corr fusions'!L129/'B7 Performance corr fusions'!D129</f>
        <v>1810.7477465187142</v>
      </c>
      <c r="J129" s="98">
        <f>'B7 Performance corr fusions'!S129/'B7 Performance corr fusions'!D129</f>
        <v>1854.0563860965265</v>
      </c>
      <c r="K129" s="149">
        <f t="shared" si="13"/>
        <v>43.308639577812301</v>
      </c>
      <c r="L129" s="152">
        <f t="shared" si="14"/>
        <v>2.3917544374182493E-2</v>
      </c>
      <c r="M129" s="347">
        <f>'[3]T2 PF2012'!$P129</f>
        <v>93.379172070871732</v>
      </c>
      <c r="N129" s="350">
        <f t="shared" si="15"/>
        <v>1.2806876706869306</v>
      </c>
      <c r="O129" s="333">
        <f>'B7 Performance corr fusions'!N129/'B7 Performance corr fusions'!E129</f>
        <v>1822.2496814391063</v>
      </c>
      <c r="P129" s="321">
        <f>'B7 Performance corr fusions'!T129/'B7 Performance corr fusions'!E129</f>
        <v>1864.5543148258107</v>
      </c>
      <c r="Q129" s="149">
        <f t="shared" si="16"/>
        <v>42.304633386704381</v>
      </c>
      <c r="R129" s="336">
        <f t="shared" si="17"/>
        <v>2.3215607508458806E-2</v>
      </c>
      <c r="S129" s="162"/>
      <c r="T129" s="162"/>
    </row>
    <row r="130" spans="1:20" ht="13.8" x14ac:dyDescent="0.25">
      <c r="A130" s="96">
        <v>2266</v>
      </c>
      <c r="B130" s="97" t="s">
        <v>232</v>
      </c>
      <c r="C130" s="104">
        <f>'B7 Performance corr fusions'!J130/'B7 Performance corr fusions'!C130</f>
        <v>1549.3384436301558</v>
      </c>
      <c r="D130" s="104">
        <f>'B7 Performance corr fusions'!R130/'B7 Performance corr fusions'!C130</f>
        <v>1574.7966614915038</v>
      </c>
      <c r="E130" s="143">
        <f t="shared" si="12"/>
        <v>25.458217861347975</v>
      </c>
      <c r="F130" s="147">
        <f t="shared" si="18"/>
        <v>1.6431669894989797E-2</v>
      </c>
      <c r="G130" s="175">
        <f>'[2]T1  PF2011'!P130</f>
        <v>107.89129917149853</v>
      </c>
      <c r="H130" s="157">
        <f t="shared" si="19"/>
        <v>0.65505387410557048</v>
      </c>
      <c r="I130" s="159">
        <f>'B7 Performance corr fusions'!L130/'B7 Performance corr fusions'!D130</f>
        <v>1532.5104673352384</v>
      </c>
      <c r="J130" s="98">
        <f>'B7 Performance corr fusions'!S130/'B7 Performance corr fusions'!D130</f>
        <v>1555.0303089148886</v>
      </c>
      <c r="K130" s="149">
        <f t="shared" si="13"/>
        <v>22.519841579650119</v>
      </c>
      <c r="L130" s="152">
        <f t="shared" si="14"/>
        <v>1.4694739161428435E-2</v>
      </c>
      <c r="M130" s="347">
        <f>'[3]T2 PF2012'!$P130</f>
        <v>116.65016245974451</v>
      </c>
      <c r="N130" s="350">
        <f t="shared" si="15"/>
        <v>0.53308773285434041</v>
      </c>
      <c r="O130" s="333">
        <f>'B7 Performance corr fusions'!N130/'B7 Performance corr fusions'!E130</f>
        <v>1529.8118837421812</v>
      </c>
      <c r="P130" s="321">
        <f>'B7 Performance corr fusions'!T130/'B7 Performance corr fusions'!E130</f>
        <v>1551.4401608865617</v>
      </c>
      <c r="Q130" s="149">
        <f t="shared" si="16"/>
        <v>21.62827714438049</v>
      </c>
      <c r="R130" s="336">
        <f t="shared" si="17"/>
        <v>1.4137867128783201E-2</v>
      </c>
      <c r="S130" s="162"/>
      <c r="T130" s="162"/>
    </row>
    <row r="131" spans="1:20" ht="13.8" x14ac:dyDescent="0.25">
      <c r="A131" s="96">
        <v>2270</v>
      </c>
      <c r="B131" s="97" t="s">
        <v>234</v>
      </c>
      <c r="C131" s="104">
        <f>'B7 Performance corr fusions'!J131/'B7 Performance corr fusions'!C131</f>
        <v>1646.7735476162136</v>
      </c>
      <c r="D131" s="104">
        <f>'B7 Performance corr fusions'!R131/'B7 Performance corr fusions'!C131</f>
        <v>1679.1760432477276</v>
      </c>
      <c r="E131" s="143">
        <f t="shared" si="12"/>
        <v>32.402495631514057</v>
      </c>
      <c r="F131" s="147">
        <f t="shared" si="18"/>
        <v>1.9676351784019289E-2</v>
      </c>
      <c r="G131" s="175">
        <f>'[2]T1  PF2011'!P131</f>
        <v>71.156373405632706</v>
      </c>
      <c r="H131" s="157">
        <f t="shared" si="19"/>
        <v>1.2641543363181487</v>
      </c>
      <c r="I131" s="159">
        <f>'B7 Performance corr fusions'!L131/'B7 Performance corr fusions'!D131</f>
        <v>1818.863735638841</v>
      </c>
      <c r="J131" s="98">
        <f>'B7 Performance corr fusions'!S131/'B7 Performance corr fusions'!D131</f>
        <v>1865.2988490884866</v>
      </c>
      <c r="K131" s="149">
        <f t="shared" si="13"/>
        <v>46.435113449645542</v>
      </c>
      <c r="L131" s="152">
        <f t="shared" si="14"/>
        <v>2.5529737351839662E-2</v>
      </c>
      <c r="M131" s="347">
        <f>'[3]T2 PF2012'!$P131</f>
        <v>74.012903849591595</v>
      </c>
      <c r="N131" s="350">
        <f t="shared" si="15"/>
        <v>1.732438286306422</v>
      </c>
      <c r="O131" s="333">
        <f>'B7 Performance corr fusions'!N131/'B7 Performance corr fusions'!E131</f>
        <v>1849.5486338781727</v>
      </c>
      <c r="P131" s="321">
        <f>'B7 Performance corr fusions'!T131/'B7 Performance corr fusions'!E131</f>
        <v>1896.8827950484515</v>
      </c>
      <c r="Q131" s="149">
        <f t="shared" si="16"/>
        <v>47.334161170278776</v>
      </c>
      <c r="R131" s="336">
        <f t="shared" si="17"/>
        <v>2.559227711197164E-2</v>
      </c>
      <c r="S131" s="162"/>
      <c r="T131" s="162"/>
    </row>
    <row r="132" spans="1:20" ht="13.8" x14ac:dyDescent="0.25">
      <c r="A132" s="96">
        <v>2271</v>
      </c>
      <c r="B132" s="97" t="s">
        <v>384</v>
      </c>
      <c r="C132" s="104">
        <f>'B7 Performance corr fusions'!J132/'B7 Performance corr fusions'!C132</f>
        <v>1888.2132673700257</v>
      </c>
      <c r="D132" s="104">
        <f>'B7 Performance corr fusions'!R132/'B7 Performance corr fusions'!C132</f>
        <v>1946.1328667448977</v>
      </c>
      <c r="E132" s="143">
        <f t="shared" si="12"/>
        <v>57.91959937487195</v>
      </c>
      <c r="F132" s="147">
        <f t="shared" si="18"/>
        <v>3.0674288956535373E-2</v>
      </c>
      <c r="G132" s="175">
        <f>'[2]T1  PF2011'!P132</f>
        <v>144.74287318574392</v>
      </c>
      <c r="H132" s="157">
        <f t="shared" si="19"/>
        <v>1.1108714452536295</v>
      </c>
      <c r="I132" s="159">
        <f>'B7 Performance corr fusions'!L132/'B7 Performance corr fusions'!D132</f>
        <v>1964.2458016167632</v>
      </c>
      <c r="J132" s="98">
        <f>'B7 Performance corr fusions'!S132/'B7 Performance corr fusions'!D132</f>
        <v>2026.6919659429793</v>
      </c>
      <c r="K132" s="149">
        <f t="shared" si="13"/>
        <v>62.446164326216149</v>
      </c>
      <c r="L132" s="152">
        <f t="shared" si="14"/>
        <v>3.1791420541572218E-2</v>
      </c>
      <c r="M132" s="347">
        <f>'[3]T2 PF2012'!$P132</f>
        <v>143.22331390389337</v>
      </c>
      <c r="N132" s="350">
        <f t="shared" si="15"/>
        <v>1.2039563873520305</v>
      </c>
      <c r="O132" s="333">
        <f>'B7 Performance corr fusions'!N132/'B7 Performance corr fusions'!E132</f>
        <v>1989.7903111141597</v>
      </c>
      <c r="P132" s="321">
        <f>'B7 Performance corr fusions'!T132/'B7 Performance corr fusions'!E132</f>
        <v>2053.2800164978953</v>
      </c>
      <c r="Q132" s="149">
        <f t="shared" si="16"/>
        <v>63.489705383735554</v>
      </c>
      <c r="R132" s="336">
        <f t="shared" si="17"/>
        <v>3.190773672437134E-2</v>
      </c>
      <c r="S132" s="162"/>
      <c r="T132" s="162"/>
    </row>
    <row r="133" spans="1:20" ht="13.8" x14ac:dyDescent="0.25">
      <c r="A133" s="96">
        <v>2272</v>
      </c>
      <c r="B133" s="97" t="s">
        <v>238</v>
      </c>
      <c r="C133" s="104">
        <f>'B7 Performance corr fusions'!J133/'B7 Performance corr fusions'!C133</f>
        <v>1647.8046069176535</v>
      </c>
      <c r="D133" s="104">
        <f>'B7 Performance corr fusions'!R133/'B7 Performance corr fusions'!C133</f>
        <v>1678.9670994542917</v>
      </c>
      <c r="E133" s="143">
        <f t="shared" si="12"/>
        <v>31.162492536638183</v>
      </c>
      <c r="F133" s="147">
        <f t="shared" si="18"/>
        <v>1.8911521673027756E-2</v>
      </c>
      <c r="G133" s="175">
        <f>'[2]T1  PF2011'!P133</f>
        <v>70.23866055491527</v>
      </c>
      <c r="H133" s="157">
        <f t="shared" si="19"/>
        <v>1.231661624071863</v>
      </c>
      <c r="I133" s="159">
        <f>'B7 Performance corr fusions'!L133/'B7 Performance corr fusions'!D133</f>
        <v>1701.8876315813613</v>
      </c>
      <c r="J133" s="98">
        <f>'B7 Performance corr fusions'!S133/'B7 Performance corr fusions'!D133</f>
        <v>1733.8840879730315</v>
      </c>
      <c r="K133" s="149">
        <f t="shared" si="13"/>
        <v>31.996456391670108</v>
      </c>
      <c r="L133" s="152">
        <f t="shared" si="14"/>
        <v>1.8800569319573475E-2</v>
      </c>
      <c r="M133" s="347">
        <f>'[3]T2 PF2012'!$P133</f>
        <v>70.990209302085944</v>
      </c>
      <c r="N133" s="350">
        <f t="shared" si="15"/>
        <v>1.2445780349631421</v>
      </c>
      <c r="O133" s="333">
        <f>'B7 Performance corr fusions'!N133/'B7 Performance corr fusions'!E133</f>
        <v>1739.1038524416888</v>
      </c>
      <c r="P133" s="321">
        <f>'B7 Performance corr fusions'!T133/'B7 Performance corr fusions'!E133</f>
        <v>1772.5716829352818</v>
      </c>
      <c r="Q133" s="149">
        <f t="shared" si="16"/>
        <v>33.467830493593056</v>
      </c>
      <c r="R133" s="336">
        <f t="shared" si="17"/>
        <v>1.9244296679927695E-2</v>
      </c>
      <c r="S133" s="162"/>
      <c r="T133" s="162"/>
    </row>
    <row r="134" spans="1:20" ht="13.8" x14ac:dyDescent="0.25">
      <c r="A134" s="96">
        <v>2274</v>
      </c>
      <c r="B134" s="97" t="s">
        <v>240</v>
      </c>
      <c r="C134" s="104">
        <f>'B7 Performance corr fusions'!J134/'B7 Performance corr fusions'!C134</f>
        <v>1506.7213258373122</v>
      </c>
      <c r="D134" s="104">
        <f>'B7 Performance corr fusions'!R134/'B7 Performance corr fusions'!C134</f>
        <v>1529.49445051918</v>
      </c>
      <c r="E134" s="143">
        <f t="shared" si="12"/>
        <v>22.773124681867785</v>
      </c>
      <c r="F134" s="147">
        <f t="shared" si="18"/>
        <v>1.5114357440459237E-2</v>
      </c>
      <c r="G134" s="175">
        <f>'[2]T1  PF2011'!P134</f>
        <v>160.88540402414878</v>
      </c>
      <c r="H134" s="157">
        <f t="shared" si="19"/>
        <v>0.3929537357486258</v>
      </c>
      <c r="I134" s="159">
        <f>'B7 Performance corr fusions'!L134/'B7 Performance corr fusions'!D134</f>
        <v>1747.2313099264179</v>
      </c>
      <c r="J134" s="98">
        <f>'B7 Performance corr fusions'!S134/'B7 Performance corr fusions'!D134</f>
        <v>1785.1902946092525</v>
      </c>
      <c r="K134" s="149">
        <f t="shared" si="13"/>
        <v>37.958984682834625</v>
      </c>
      <c r="L134" s="152">
        <f t="shared" si="14"/>
        <v>2.1725220047958741E-2</v>
      </c>
      <c r="M134" s="347">
        <f>'[3]T2 PF2012'!$P134</f>
        <v>154.29117674994248</v>
      </c>
      <c r="N134" s="350">
        <f t="shared" si="15"/>
        <v>0.67934784481305555</v>
      </c>
      <c r="O134" s="333">
        <f>'B7 Performance corr fusions'!N134/'B7 Performance corr fusions'!E134</f>
        <v>1779.0709462086877</v>
      </c>
      <c r="P134" s="321">
        <f>'B7 Performance corr fusions'!T134/'B7 Performance corr fusions'!E134</f>
        <v>1818.4971996113568</v>
      </c>
      <c r="Q134" s="149">
        <f t="shared" si="16"/>
        <v>39.42625340266909</v>
      </c>
      <c r="R134" s="336">
        <f t="shared" si="17"/>
        <v>2.2161147359912162E-2</v>
      </c>
      <c r="S134" s="162"/>
      <c r="T134" s="162"/>
    </row>
    <row r="135" spans="1:20" s="107" customFormat="1" ht="13.8" x14ac:dyDescent="0.25">
      <c r="A135" s="108">
        <v>2275</v>
      </c>
      <c r="B135" s="109" t="s">
        <v>242</v>
      </c>
      <c r="C135" s="227">
        <f>'B7 Performance corr fusions'!J135/'B7 Performance corr fusions'!C135</f>
        <v>1759.3308546900553</v>
      </c>
      <c r="D135" s="227">
        <f>'B7 Performance corr fusions'!R135/'B7 Performance corr fusions'!C135</f>
        <v>1802.8318733391698</v>
      </c>
      <c r="E135" s="228">
        <f t="shared" si="12"/>
        <v>43.501018649114485</v>
      </c>
      <c r="F135" s="225">
        <f t="shared" si="18"/>
        <v>2.4725888557657418E-2</v>
      </c>
      <c r="G135" s="229">
        <f>'[2]T1  PF2011'!P135</f>
        <v>113.17319589789001</v>
      </c>
      <c r="H135" s="230">
        <f t="shared" si="19"/>
        <v>1.0670660196701371</v>
      </c>
      <c r="I135" s="231">
        <f>'B7 Performance corr fusions'!L135/'B7 Performance corr fusions'!D135</f>
        <v>1895.7891977339552</v>
      </c>
      <c r="J135" s="227">
        <f>'B7 Performance corr fusions'!S135/'B7 Performance corr fusions'!D135</f>
        <v>1948.8625310672885</v>
      </c>
      <c r="K135" s="229">
        <f t="shared" si="13"/>
        <v>53.073333333333267</v>
      </c>
      <c r="L135" s="225">
        <f t="shared" si="14"/>
        <v>2.7995377015953064E-2</v>
      </c>
      <c r="M135" s="347">
        <f>'[3]T2 PF2012'!$P135</f>
        <v>114.82415436705638</v>
      </c>
      <c r="N135" s="350">
        <f t="shared" si="15"/>
        <v>1.2763265837380209</v>
      </c>
      <c r="O135" s="334">
        <f>'B7 Performance corr fusions'!N135/'B7 Performance corr fusions'!E135</f>
        <v>1914.1383121980546</v>
      </c>
      <c r="P135" s="227">
        <f>'B7 Performance corr fusions'!T135/'B7 Performance corr fusions'!E135</f>
        <v>1966.08402990631</v>
      </c>
      <c r="Q135" s="229">
        <f t="shared" si="16"/>
        <v>51.945717708255415</v>
      </c>
      <c r="R135" s="336">
        <f t="shared" si="17"/>
        <v>2.7137912332262346E-2</v>
      </c>
      <c r="S135" s="226"/>
      <c r="T135" s="226"/>
    </row>
    <row r="136" spans="1:20" ht="13.8" x14ac:dyDescent="0.25">
      <c r="A136" s="96">
        <v>2276</v>
      </c>
      <c r="B136" s="97" t="s">
        <v>309</v>
      </c>
      <c r="C136" s="104">
        <f>'B7 Performance corr fusions'!J136/'B7 Performance corr fusions'!C136</f>
        <v>1663.0986532223435</v>
      </c>
      <c r="D136" s="104">
        <f>'B7 Performance corr fusions'!R136/'B7 Performance corr fusions'!C136</f>
        <v>1696.6911191412159</v>
      </c>
      <c r="E136" s="143">
        <f t="shared" si="12"/>
        <v>33.592465918872449</v>
      </c>
      <c r="F136" s="147">
        <f t="shared" ref="F136:F170" si="20">E136/C136</f>
        <v>2.0198721136467299E-2</v>
      </c>
      <c r="G136" s="175">
        <f>'[2]T1  PF2011'!P136</f>
        <v>105.53417857826086</v>
      </c>
      <c r="H136" s="157">
        <f t="shared" ref="H136:H167" si="21">E136/($G$4*G136/100)*100</f>
        <v>0.88365796118941475</v>
      </c>
      <c r="I136" s="159">
        <f>'B7 Performance corr fusions'!L136/'B7 Performance corr fusions'!D136</f>
        <v>1731.8815044166131</v>
      </c>
      <c r="J136" s="98">
        <f>'B7 Performance corr fusions'!S136/'B7 Performance corr fusions'!D136</f>
        <v>1768.6293858702825</v>
      </c>
      <c r="K136" s="149">
        <f t="shared" si="13"/>
        <v>36.747881453669379</v>
      </c>
      <c r="L136" s="152">
        <f t="shared" si="14"/>
        <v>2.121847329621316E-2</v>
      </c>
      <c r="M136" s="347">
        <f>'[3]T2 PF2012'!$P136</f>
        <v>103.27047421331012</v>
      </c>
      <c r="N136" s="350">
        <f t="shared" si="15"/>
        <v>0.98259565915387415</v>
      </c>
      <c r="O136" s="333">
        <f>'B7 Performance corr fusions'!N136/'B7 Performance corr fusions'!E136</f>
        <v>1747.4898051517287</v>
      </c>
      <c r="P136" s="321">
        <f>'B7 Performance corr fusions'!T136/'B7 Performance corr fusions'!E136</f>
        <v>1782.2514640519621</v>
      </c>
      <c r="Q136" s="149">
        <f t="shared" si="16"/>
        <v>34.761658900233442</v>
      </c>
      <c r="R136" s="336">
        <f t="shared" si="17"/>
        <v>1.9892338597772365E-2</v>
      </c>
      <c r="S136" s="162"/>
      <c r="T136" s="162"/>
    </row>
    <row r="137" spans="1:20" ht="13.8" x14ac:dyDescent="0.25">
      <c r="A137" s="96">
        <v>2277</v>
      </c>
      <c r="B137" s="97" t="s">
        <v>245</v>
      </c>
      <c r="C137" s="104">
        <f>'B7 Performance corr fusions'!J137/'B7 Performance corr fusions'!C137</f>
        <v>1831.848692224652</v>
      </c>
      <c r="D137" s="104">
        <f>'B7 Performance corr fusions'!R137/'B7 Performance corr fusions'!C137</f>
        <v>1886.0659669801037</v>
      </c>
      <c r="E137" s="143">
        <f t="shared" ref="E137:E170" si="22">D137-C137</f>
        <v>54.217274755451626</v>
      </c>
      <c r="F137" s="147">
        <f t="shared" si="20"/>
        <v>2.9597026755309435E-2</v>
      </c>
      <c r="G137" s="175">
        <f>'[2]T1  PF2011'!P137</f>
        <v>91.50922419879916</v>
      </c>
      <c r="H137" s="157">
        <f t="shared" si="21"/>
        <v>1.6447816565369735</v>
      </c>
      <c r="I137" s="159">
        <f>'B7 Performance corr fusions'!L137/'B7 Performance corr fusions'!D137</f>
        <v>1526.8645618603675</v>
      </c>
      <c r="J137" s="98">
        <f>'B7 Performance corr fusions'!S137/'B7 Performance corr fusions'!D137</f>
        <v>1548.8269785757677</v>
      </c>
      <c r="K137" s="149">
        <f t="shared" ref="K137:K170" si="23">J137-I137</f>
        <v>21.962416715400195</v>
      </c>
      <c r="L137" s="152">
        <f t="shared" ref="L137:L170" si="24">K137/I137</f>
        <v>1.4383997941926605E-2</v>
      </c>
      <c r="M137" s="347">
        <f>'[3]T2 PF2012'!$P137</f>
        <v>86.882375824754803</v>
      </c>
      <c r="N137" s="350">
        <f t="shared" ref="N137:N170" si="25">K137/($M$5*M137/100)*100</f>
        <v>0.69801884062558706</v>
      </c>
      <c r="O137" s="333">
        <f>'B7 Performance corr fusions'!N137/'B7 Performance corr fusions'!E137</f>
        <v>1549.4385815741896</v>
      </c>
      <c r="P137" s="321">
        <f>'B7 Performance corr fusions'!T137/'B7 Performance corr fusions'!E137</f>
        <v>1570.9282050979264</v>
      </c>
      <c r="Q137" s="149">
        <f t="shared" ref="Q137:Q170" si="26">P137-O137</f>
        <v>21.489623523736782</v>
      </c>
      <c r="R137" s="336">
        <f t="shared" ref="R137:R170" si="27">Q137/O137</f>
        <v>1.3869296775806292E-2</v>
      </c>
      <c r="S137" s="162"/>
      <c r="T137" s="162"/>
    </row>
    <row r="138" spans="1:20" ht="13.8" x14ac:dyDescent="0.25">
      <c r="A138" s="96">
        <v>2278</v>
      </c>
      <c r="B138" s="97" t="s">
        <v>247</v>
      </c>
      <c r="C138" s="104">
        <f>'B7 Performance corr fusions'!J138/'B7 Performance corr fusions'!C138</f>
        <v>1817.2420187875884</v>
      </c>
      <c r="D138" s="104">
        <f>'B7 Performance corr fusions'!R138/'B7 Performance corr fusions'!C138</f>
        <v>1867.5525360546903</v>
      </c>
      <c r="E138" s="143">
        <f t="shared" si="22"/>
        <v>50.310517267101886</v>
      </c>
      <c r="F138" s="147">
        <f t="shared" si="20"/>
        <v>2.7685094636248624E-2</v>
      </c>
      <c r="G138" s="175">
        <f>'[2]T1  PF2011'!P138</f>
        <v>79.997840519297327</v>
      </c>
      <c r="H138" s="157">
        <f t="shared" si="21"/>
        <v>1.7458863210718867</v>
      </c>
      <c r="I138" s="159">
        <f>'B7 Performance corr fusions'!L138/'B7 Performance corr fusions'!D138</f>
        <v>1827.3325938511471</v>
      </c>
      <c r="J138" s="98">
        <f>'B7 Performance corr fusions'!S138/'B7 Performance corr fusions'!D138</f>
        <v>1875.8346512537876</v>
      </c>
      <c r="K138" s="149">
        <f t="shared" si="23"/>
        <v>48.502057402640503</v>
      </c>
      <c r="L138" s="152">
        <f t="shared" si="24"/>
        <v>2.6542544890758645E-2</v>
      </c>
      <c r="M138" s="347">
        <f>'[3]T2 PF2012'!$P138</f>
        <v>83.931204717168967</v>
      </c>
      <c r="N138" s="350">
        <f t="shared" si="25"/>
        <v>1.5957153038843799</v>
      </c>
      <c r="O138" s="333">
        <f>'B7 Performance corr fusions'!N138/'B7 Performance corr fusions'!E138</f>
        <v>1846.5154169404984</v>
      </c>
      <c r="P138" s="321">
        <f>'B7 Performance corr fusions'!T138/'B7 Performance corr fusions'!E138</f>
        <v>1892.958654275488</v>
      </c>
      <c r="Q138" s="149">
        <f t="shared" si="26"/>
        <v>46.44323733498959</v>
      </c>
      <c r="R138" s="336">
        <f t="shared" si="27"/>
        <v>2.5151827549829853E-2</v>
      </c>
      <c r="S138" s="162"/>
      <c r="T138" s="162"/>
    </row>
    <row r="139" spans="1:20" ht="13.8" x14ac:dyDescent="0.25">
      <c r="A139" s="96">
        <v>2279</v>
      </c>
      <c r="B139" s="97" t="s">
        <v>249</v>
      </c>
      <c r="C139" s="104">
        <f>'B7 Performance corr fusions'!J139/'B7 Performance corr fusions'!C139</f>
        <v>1589.5497563863069</v>
      </c>
      <c r="D139" s="104">
        <f>'B7 Performance corr fusions'!R139/'B7 Performance corr fusions'!C139</f>
        <v>1617.8008562349944</v>
      </c>
      <c r="E139" s="143">
        <f t="shared" si="22"/>
        <v>28.251099848687545</v>
      </c>
      <c r="F139" s="147">
        <f t="shared" si="20"/>
        <v>1.7773020149374742E-2</v>
      </c>
      <c r="G139" s="175">
        <f>'[2]T1  PF2011'!P139</f>
        <v>79.757617880857168</v>
      </c>
      <c r="H139" s="157">
        <f t="shared" si="21"/>
        <v>0.98332850574258202</v>
      </c>
      <c r="I139" s="159">
        <f>'B7 Performance corr fusions'!L139/'B7 Performance corr fusions'!D139</f>
        <v>1778.6366591303865</v>
      </c>
      <c r="J139" s="98">
        <f>'B7 Performance corr fusions'!S139/'B7 Performance corr fusions'!D139</f>
        <v>1818.0163059828922</v>
      </c>
      <c r="K139" s="149">
        <f t="shared" si="23"/>
        <v>39.37964685250563</v>
      </c>
      <c r="L139" s="152">
        <f t="shared" si="24"/>
        <v>2.2140354889434912E-2</v>
      </c>
      <c r="M139" s="347">
        <f>'[3]T2 PF2012'!$P139</f>
        <v>83.934788772905819</v>
      </c>
      <c r="N139" s="350">
        <f t="shared" si="25"/>
        <v>1.2955331230513283</v>
      </c>
      <c r="O139" s="333">
        <f>'B7 Performance corr fusions'!N139/'B7 Performance corr fusions'!E139</f>
        <v>1828.8513888916909</v>
      </c>
      <c r="P139" s="321">
        <f>'B7 Performance corr fusions'!T139/'B7 Performance corr fusions'!E139</f>
        <v>1869.832701282814</v>
      </c>
      <c r="Q139" s="149">
        <f t="shared" si="26"/>
        <v>40.981312391123083</v>
      </c>
      <c r="R139" s="336">
        <f t="shared" si="27"/>
        <v>2.2408224440783196E-2</v>
      </c>
      <c r="S139" s="162"/>
      <c r="T139" s="162"/>
    </row>
    <row r="140" spans="1:20" ht="13.8" x14ac:dyDescent="0.25">
      <c r="A140" s="96">
        <v>2280</v>
      </c>
      <c r="B140" s="97" t="s">
        <v>251</v>
      </c>
      <c r="C140" s="104">
        <f>'B7 Performance corr fusions'!J140/'B7 Performance corr fusions'!C140</f>
        <v>1603.2972137388367</v>
      </c>
      <c r="D140" s="104">
        <f>'B7 Performance corr fusions'!R140/'B7 Performance corr fusions'!C140</f>
        <v>1632.5377017746673</v>
      </c>
      <c r="E140" s="143">
        <f t="shared" si="22"/>
        <v>29.240488035830595</v>
      </c>
      <c r="F140" s="147">
        <f t="shared" si="20"/>
        <v>1.8237721481248467E-2</v>
      </c>
      <c r="G140" s="175">
        <f>'[2]T1  PF2011'!P140</f>
        <v>101.16197037004365</v>
      </c>
      <c r="H140" s="157">
        <f t="shared" si="21"/>
        <v>0.80242191403890273</v>
      </c>
      <c r="I140" s="159">
        <f>'B7 Performance corr fusions'!L140/'B7 Performance corr fusions'!D140</f>
        <v>1790.457773718397</v>
      </c>
      <c r="J140" s="98">
        <f>'B7 Performance corr fusions'!S140/'B7 Performance corr fusions'!D140</f>
        <v>1832.3284596123917</v>
      </c>
      <c r="K140" s="149">
        <f t="shared" si="23"/>
        <v>41.870685893994732</v>
      </c>
      <c r="L140" s="152">
        <f t="shared" si="24"/>
        <v>2.3385464046459074E-2</v>
      </c>
      <c r="M140" s="347">
        <f>'[3]T2 PF2012'!$P140</f>
        <v>104.88136327794334</v>
      </c>
      <c r="N140" s="350">
        <f t="shared" si="25"/>
        <v>1.1023777962411834</v>
      </c>
      <c r="O140" s="333">
        <f>'B7 Performance corr fusions'!N140/'B7 Performance corr fusions'!E140</f>
        <v>1816.3616720895036</v>
      </c>
      <c r="P140" s="321">
        <f>'B7 Performance corr fusions'!T140/'B7 Performance corr fusions'!E140</f>
        <v>1858.313958722448</v>
      </c>
      <c r="Q140" s="149">
        <f t="shared" si="26"/>
        <v>41.952286632944379</v>
      </c>
      <c r="R140" s="336">
        <f t="shared" si="27"/>
        <v>2.3096879480331341E-2</v>
      </c>
      <c r="S140" s="162"/>
      <c r="T140" s="162"/>
    </row>
    <row r="141" spans="1:20" ht="13.8" x14ac:dyDescent="0.25">
      <c r="A141" s="96">
        <v>2281</v>
      </c>
      <c r="B141" s="97" t="s">
        <v>253</v>
      </c>
      <c r="C141" s="104">
        <f>'B7 Performance corr fusions'!J141/'B7 Performance corr fusions'!C141</f>
        <v>1526.6551389984813</v>
      </c>
      <c r="D141" s="104">
        <f>'B7 Performance corr fusions'!R141/'B7 Performance corr fusions'!C141</f>
        <v>1550.9653652123493</v>
      </c>
      <c r="E141" s="143">
        <f t="shared" si="22"/>
        <v>24.310226213867963</v>
      </c>
      <c r="F141" s="147">
        <f t="shared" si="20"/>
        <v>1.5923849200033476E-2</v>
      </c>
      <c r="G141" s="175">
        <f>'[2]T1  PF2011'!P141</f>
        <v>156.77037816364074</v>
      </c>
      <c r="H141" s="157">
        <f t="shared" si="21"/>
        <v>0.43048739313467799</v>
      </c>
      <c r="I141" s="159">
        <f>'B7 Performance corr fusions'!L141/'B7 Performance corr fusions'!D141</f>
        <v>1682.1269624193144</v>
      </c>
      <c r="J141" s="98">
        <f>'B7 Performance corr fusions'!S141/'B7 Performance corr fusions'!D141</f>
        <v>1715.5694021562476</v>
      </c>
      <c r="K141" s="149">
        <f t="shared" si="23"/>
        <v>33.442439736933238</v>
      </c>
      <c r="L141" s="152">
        <f t="shared" si="24"/>
        <v>1.9881043752389974E-2</v>
      </c>
      <c r="M141" s="347">
        <f>'[3]T2 PF2012'!$P141</f>
        <v>157.90749578473046</v>
      </c>
      <c r="N141" s="350">
        <f t="shared" si="25"/>
        <v>0.58480881831534637</v>
      </c>
      <c r="O141" s="333">
        <f>'B7 Performance corr fusions'!N141/'B7 Performance corr fusions'!E141</f>
        <v>1696.2819662627617</v>
      </c>
      <c r="P141" s="321">
        <f>'B7 Performance corr fusions'!T141/'B7 Performance corr fusions'!E141</f>
        <v>1729.0097359669805</v>
      </c>
      <c r="Q141" s="149">
        <f t="shared" si="26"/>
        <v>32.727769704218872</v>
      </c>
      <c r="R141" s="336">
        <f t="shared" si="27"/>
        <v>1.9293826353836974E-2</v>
      </c>
      <c r="S141" s="162"/>
      <c r="T141" s="162"/>
    </row>
    <row r="142" spans="1:20" ht="13.8" x14ac:dyDescent="0.25">
      <c r="A142" s="96">
        <v>2283</v>
      </c>
      <c r="B142" s="97" t="s">
        <v>255</v>
      </c>
      <c r="C142" s="104">
        <f>'B7 Performance corr fusions'!J142/'B7 Performance corr fusions'!C142</f>
        <v>1406.0212007300281</v>
      </c>
      <c r="D142" s="104">
        <f>'B7 Performance corr fusions'!R142/'B7 Performance corr fusions'!C142</f>
        <v>1423.0187345452377</v>
      </c>
      <c r="E142" s="143">
        <f t="shared" si="22"/>
        <v>16.997533815209636</v>
      </c>
      <c r="F142" s="147">
        <f t="shared" si="20"/>
        <v>1.2089102074978849E-2</v>
      </c>
      <c r="G142" s="175">
        <f>'[2]T1  PF2011'!P142</f>
        <v>79.5031564865089</v>
      </c>
      <c r="H142" s="157">
        <f t="shared" si="21"/>
        <v>0.59352222432766333</v>
      </c>
      <c r="I142" s="159">
        <f>'B7 Performance corr fusions'!L142/'B7 Performance corr fusions'!D142</f>
        <v>1830.1555465885826</v>
      </c>
      <c r="J142" s="98">
        <f>'B7 Performance corr fusions'!S142/'B7 Performance corr fusions'!D142</f>
        <v>1875.6328905317769</v>
      </c>
      <c r="K142" s="149">
        <f t="shared" si="23"/>
        <v>45.477343943194228</v>
      </c>
      <c r="L142" s="152">
        <f t="shared" si="24"/>
        <v>2.4848895509435896E-2</v>
      </c>
      <c r="M142" s="347">
        <f>'[3]T2 PF2012'!$P142</f>
        <v>81.83089293714572</v>
      </c>
      <c r="N142" s="350">
        <f t="shared" si="25"/>
        <v>1.5346046429223303</v>
      </c>
      <c r="O142" s="333">
        <f>'B7 Performance corr fusions'!N142/'B7 Performance corr fusions'!E142</f>
        <v>1878.2749825232031</v>
      </c>
      <c r="P142" s="321">
        <f>'B7 Performance corr fusions'!T142/'B7 Performance corr fusions'!E142</f>
        <v>1927.1516883813708</v>
      </c>
      <c r="Q142" s="149">
        <f t="shared" si="26"/>
        <v>48.876705858167725</v>
      </c>
      <c r="R142" s="336">
        <f t="shared" si="27"/>
        <v>2.602212472239215E-2</v>
      </c>
      <c r="S142" s="162"/>
      <c r="T142" s="162"/>
    </row>
    <row r="143" spans="1:20" ht="13.8" x14ac:dyDescent="0.25">
      <c r="A143" s="96">
        <v>2291</v>
      </c>
      <c r="B143" s="97" t="s">
        <v>385</v>
      </c>
      <c r="C143" s="104">
        <f>'B7 Performance corr fusions'!J143/'B7 Performance corr fusions'!C143</f>
        <v>1744.7241812529919</v>
      </c>
      <c r="D143" s="104">
        <f>'B7 Performance corr fusions'!R143/'B7 Performance corr fusions'!C143</f>
        <v>1786.0885378940432</v>
      </c>
      <c r="E143" s="143">
        <f t="shared" si="22"/>
        <v>41.364356641051245</v>
      </c>
      <c r="F143" s="147">
        <f t="shared" si="20"/>
        <v>2.3708249754035619E-2</v>
      </c>
      <c r="G143" s="175">
        <f>'[2]T1  PF2011'!P143</f>
        <v>78.39722775407671</v>
      </c>
      <c r="H143" s="157">
        <f t="shared" si="21"/>
        <v>1.4647415854054047</v>
      </c>
      <c r="I143" s="159">
        <f>'B7 Performance corr fusions'!L143/'B7 Performance corr fusions'!D143</f>
        <v>1577.6777111342046</v>
      </c>
      <c r="J143" s="98">
        <f>'B7 Performance corr fusions'!S143/'B7 Performance corr fusions'!D143</f>
        <v>1602.6941650144811</v>
      </c>
      <c r="K143" s="149">
        <f t="shared" si="23"/>
        <v>25.016453880276458</v>
      </c>
      <c r="L143" s="152">
        <f t="shared" si="24"/>
        <v>1.5856504597692476E-2</v>
      </c>
      <c r="M143" s="347">
        <f>'[3]T2 PF2012'!$P143</f>
        <v>77.003368197309001</v>
      </c>
      <c r="N143" s="350">
        <f t="shared" si="25"/>
        <v>0.89708734782718569</v>
      </c>
      <c r="O143" s="333">
        <f>'B7 Performance corr fusions'!N143/'B7 Performance corr fusions'!E143</f>
        <v>1611.7087410593797</v>
      </c>
      <c r="P143" s="321">
        <f>'B7 Performance corr fusions'!T143/'B7 Performance corr fusions'!E143</f>
        <v>1637.5345796330134</v>
      </c>
      <c r="Q143" s="149">
        <f t="shared" si="26"/>
        <v>25.825838573633746</v>
      </c>
      <c r="R143" s="336">
        <f t="shared" si="27"/>
        <v>1.602388689451319E-2</v>
      </c>
      <c r="S143" s="162"/>
      <c r="T143" s="162"/>
    </row>
    <row r="144" spans="1:20" ht="13.8" x14ac:dyDescent="0.25">
      <c r="A144" s="96">
        <v>2292</v>
      </c>
      <c r="B144" s="97" t="s">
        <v>258</v>
      </c>
      <c r="C144" s="104">
        <f>'B7 Performance corr fusions'!J144/'B7 Performance corr fusions'!C144</f>
        <v>1629.0736962748313</v>
      </c>
      <c r="D144" s="104">
        <f>'B7 Performance corr fusions'!R144/'B7 Performance corr fusions'!C144</f>
        <v>1660.2740676122992</v>
      </c>
      <c r="E144" s="143">
        <f t="shared" si="22"/>
        <v>31.200371337467914</v>
      </c>
      <c r="F144" s="147">
        <f t="shared" si="20"/>
        <v>1.9152216016263199E-2</v>
      </c>
      <c r="G144" s="175">
        <f>'[2]T1  PF2011'!P144</f>
        <v>69.141364771236653</v>
      </c>
      <c r="H144" s="157">
        <f t="shared" si="21"/>
        <v>1.2527293674191335</v>
      </c>
      <c r="I144" s="159">
        <f>'B7 Performance corr fusions'!L144/'B7 Performance corr fusions'!D144</f>
        <v>1620.7277403800942</v>
      </c>
      <c r="J144" s="98">
        <f>'B7 Performance corr fusions'!S144/'B7 Performance corr fusions'!D144</f>
        <v>1649.0842252447503</v>
      </c>
      <c r="K144" s="149">
        <f t="shared" si="23"/>
        <v>28.356484864656068</v>
      </c>
      <c r="L144" s="152">
        <f t="shared" si="24"/>
        <v>1.7496143342376484E-2</v>
      </c>
      <c r="M144" s="347">
        <f>'[3]T2 PF2012'!$P144</f>
        <v>67.683177130854034</v>
      </c>
      <c r="N144" s="350">
        <f t="shared" si="25"/>
        <v>1.1568854596682276</v>
      </c>
      <c r="O144" s="333">
        <f>'B7 Performance corr fusions'!N144/'B7 Performance corr fusions'!E144</f>
        <v>1630.8001653141519</v>
      </c>
      <c r="P144" s="321">
        <f>'B7 Performance corr fusions'!T144/'B7 Performance corr fusions'!E144</f>
        <v>1658.3373987157217</v>
      </c>
      <c r="Q144" s="149">
        <f t="shared" si="26"/>
        <v>27.537233401569893</v>
      </c>
      <c r="R144" s="336">
        <f t="shared" si="27"/>
        <v>1.6885719039809646E-2</v>
      </c>
      <c r="S144" s="162"/>
      <c r="T144" s="162"/>
    </row>
    <row r="145" spans="1:20" ht="13.8" x14ac:dyDescent="0.25">
      <c r="A145" s="96">
        <v>2293</v>
      </c>
      <c r="B145" s="97" t="s">
        <v>260</v>
      </c>
      <c r="C145" s="104">
        <f>'B7 Performance corr fusions'!J145/'B7 Performance corr fusions'!C145</f>
        <v>1663.7860260899699</v>
      </c>
      <c r="D145" s="104">
        <f>'B7 Performance corr fusions'!R145/'B7 Performance corr fusions'!C145</f>
        <v>1698.2630071496831</v>
      </c>
      <c r="E145" s="143">
        <f t="shared" si="22"/>
        <v>34.476981059713125</v>
      </c>
      <c r="F145" s="147">
        <f t="shared" si="20"/>
        <v>2.0722004223545972E-2</v>
      </c>
      <c r="G145" s="175">
        <f>'[2]T1  PF2011'!P145</f>
        <v>106.81248399526142</v>
      </c>
      <c r="H145" s="157">
        <f t="shared" si="21"/>
        <v>0.8960714879772198</v>
      </c>
      <c r="I145" s="159">
        <f>'B7 Performance corr fusions'!L145/'B7 Performance corr fusions'!D145</f>
        <v>1663.4249005338047</v>
      </c>
      <c r="J145" s="98">
        <f>'B7 Performance corr fusions'!S145/'B7 Performance corr fusions'!D145</f>
        <v>1694.6190472964336</v>
      </c>
      <c r="K145" s="149">
        <f t="shared" si="23"/>
        <v>31.194146762628861</v>
      </c>
      <c r="L145" s="152">
        <f t="shared" si="24"/>
        <v>1.8752963691128131E-2</v>
      </c>
      <c r="M145" s="347">
        <f>'[3]T2 PF2012'!$P145</f>
        <v>107.45890629699315</v>
      </c>
      <c r="N145" s="350">
        <f t="shared" si="25"/>
        <v>0.80158466619882052</v>
      </c>
      <c r="O145" s="333">
        <f>'B7 Performance corr fusions'!N145/'B7 Performance corr fusions'!E145</f>
        <v>1681.4727306258824</v>
      </c>
      <c r="P145" s="321">
        <f>'B7 Performance corr fusions'!T145/'B7 Performance corr fusions'!E145</f>
        <v>1711.7801616897868</v>
      </c>
      <c r="Q145" s="149">
        <f t="shared" si="26"/>
        <v>30.30743106390446</v>
      </c>
      <c r="R145" s="336">
        <f t="shared" si="27"/>
        <v>1.80243369469473E-2</v>
      </c>
      <c r="S145" s="162"/>
      <c r="T145" s="162"/>
    </row>
    <row r="146" spans="1:20" ht="13.8" x14ac:dyDescent="0.25">
      <c r="A146" s="96">
        <v>2294</v>
      </c>
      <c r="B146" s="97" t="s">
        <v>262</v>
      </c>
      <c r="C146" s="104">
        <f>'B7 Performance corr fusions'!J146/'B7 Performance corr fusions'!C146</f>
        <v>1679.939288479193</v>
      </c>
      <c r="D146" s="104">
        <f>'B7 Performance corr fusions'!R146/'B7 Performance corr fusions'!C146</f>
        <v>1716.6448851890707</v>
      </c>
      <c r="E146" s="143">
        <f t="shared" si="22"/>
        <v>36.705596709877682</v>
      </c>
      <c r="F146" s="147">
        <f t="shared" si="20"/>
        <v>2.1849359058151642E-2</v>
      </c>
      <c r="G146" s="175">
        <f>'[2]T1  PF2011'!P146</f>
        <v>74.598296115087066</v>
      </c>
      <c r="H146" s="157">
        <f t="shared" si="21"/>
        <v>1.3659626491109065</v>
      </c>
      <c r="I146" s="159">
        <f>'B7 Performance corr fusions'!L146/'B7 Performance corr fusions'!D146</f>
        <v>1700.2997206665541</v>
      </c>
      <c r="J146" s="98">
        <f>'B7 Performance corr fusions'!S146/'B7 Performance corr fusions'!D146</f>
        <v>1734.9172571509166</v>
      </c>
      <c r="K146" s="149">
        <f t="shared" si="23"/>
        <v>34.617536484362518</v>
      </c>
      <c r="L146" s="152">
        <f t="shared" si="24"/>
        <v>2.035966721843117E-2</v>
      </c>
      <c r="M146" s="347">
        <f>'[3]T2 PF2012'!$P146</f>
        <v>78.686289524477232</v>
      </c>
      <c r="N146" s="350">
        <f t="shared" si="25"/>
        <v>1.2148308102990764</v>
      </c>
      <c r="O146" s="333">
        <f>'B7 Performance corr fusions'!N146/'B7 Performance corr fusions'!E146</f>
        <v>1725.5435884850287</v>
      </c>
      <c r="P146" s="321">
        <f>'B7 Performance corr fusions'!T146/'B7 Performance corr fusions'!E146</f>
        <v>1759.1019941309596</v>
      </c>
      <c r="Q146" s="149">
        <f t="shared" si="26"/>
        <v>33.558405645930861</v>
      </c>
      <c r="R146" s="336">
        <f t="shared" si="27"/>
        <v>1.9448019667468414E-2</v>
      </c>
      <c r="S146" s="162"/>
      <c r="T146" s="162"/>
    </row>
    <row r="147" spans="1:20" ht="13.8" x14ac:dyDescent="0.25">
      <c r="A147" s="96">
        <v>2295</v>
      </c>
      <c r="B147" s="97" t="s">
        <v>264</v>
      </c>
      <c r="C147" s="104">
        <f>'B7 Performance corr fusions'!J147/'B7 Performance corr fusions'!C147</f>
        <v>1880.308479392321</v>
      </c>
      <c r="D147" s="104">
        <f>'B7 Performance corr fusions'!R147/'B7 Performance corr fusions'!C147</f>
        <v>1936.9962618303455</v>
      </c>
      <c r="E147" s="143">
        <f t="shared" si="22"/>
        <v>56.687782438024442</v>
      </c>
      <c r="F147" s="147">
        <f t="shared" si="20"/>
        <v>3.0148128915711121E-2</v>
      </c>
      <c r="G147" s="175">
        <f>'[2]T1  PF2011'!P147</f>
        <v>91.751532784694362</v>
      </c>
      <c r="H147" s="157">
        <f t="shared" si="21"/>
        <v>1.7151874229779966</v>
      </c>
      <c r="I147" s="159">
        <f>'B7 Performance corr fusions'!L147/'B7 Performance corr fusions'!D147</f>
        <v>1562.8572092626687</v>
      </c>
      <c r="J147" s="98">
        <f>'B7 Performance corr fusions'!S147/'B7 Performance corr fusions'!D147</f>
        <v>1587.312021816354</v>
      </c>
      <c r="K147" s="149">
        <f t="shared" si="23"/>
        <v>24.454812553685315</v>
      </c>
      <c r="L147" s="152">
        <f t="shared" si="24"/>
        <v>1.5647502797279035E-2</v>
      </c>
      <c r="M147" s="347">
        <f>'[3]T2 PF2012'!$P147</f>
        <v>91.52653921710035</v>
      </c>
      <c r="N147" s="350">
        <f t="shared" si="25"/>
        <v>0.73779550143822814</v>
      </c>
      <c r="O147" s="333">
        <f>'B7 Performance corr fusions'!N147/'B7 Performance corr fusions'!E147</f>
        <v>1578.7002037964569</v>
      </c>
      <c r="P147" s="321">
        <f>'B7 Performance corr fusions'!T147/'B7 Performance corr fusions'!E147</f>
        <v>1603.1390013309544</v>
      </c>
      <c r="Q147" s="149">
        <f t="shared" si="26"/>
        <v>24.438797534497553</v>
      </c>
      <c r="R147" s="336">
        <f t="shared" si="27"/>
        <v>1.5480328358561781E-2</v>
      </c>
      <c r="S147" s="162"/>
      <c r="T147" s="162"/>
    </row>
    <row r="148" spans="1:20" ht="13.8" x14ac:dyDescent="0.25">
      <c r="A148" s="96">
        <v>2296</v>
      </c>
      <c r="B148" s="97" t="s">
        <v>266</v>
      </c>
      <c r="C148" s="104">
        <f>'B7 Performance corr fusions'!J148/'B7 Performance corr fusions'!C148</f>
        <v>1705.2002413644675</v>
      </c>
      <c r="D148" s="104">
        <f>'B7 Performance corr fusions'!R148/'B7 Performance corr fusions'!C148</f>
        <v>1742.1953690289415</v>
      </c>
      <c r="E148" s="143">
        <f t="shared" si="22"/>
        <v>36.995127664474012</v>
      </c>
      <c r="F148" s="147">
        <f t="shared" si="20"/>
        <v>2.1695474095682302E-2</v>
      </c>
      <c r="G148" s="175">
        <f>'[2]T1  PF2011'!P148</f>
        <v>69.624296420651859</v>
      </c>
      <c r="H148" s="157">
        <f t="shared" si="21"/>
        <v>1.475092158453442</v>
      </c>
      <c r="I148" s="159">
        <f>'B7 Performance corr fusions'!L148/'B7 Performance corr fusions'!D148</f>
        <v>1628.314425861952</v>
      </c>
      <c r="J148" s="98">
        <f>'B7 Performance corr fusions'!S148/'B7 Performance corr fusions'!D148</f>
        <v>1656.0244948444997</v>
      </c>
      <c r="K148" s="149">
        <f t="shared" si="23"/>
        <v>27.710068982547682</v>
      </c>
      <c r="L148" s="152">
        <f t="shared" si="24"/>
        <v>1.7017640169759776E-2</v>
      </c>
      <c r="M148" s="347">
        <f>'[3]T2 PF2012'!$P148</f>
        <v>72.565282821172786</v>
      </c>
      <c r="N148" s="350">
        <f t="shared" si="25"/>
        <v>1.0544534703468045</v>
      </c>
      <c r="O148" s="333">
        <f>'B7 Performance corr fusions'!N148/'B7 Performance corr fusions'!E148</f>
        <v>1644.5388537965575</v>
      </c>
      <c r="P148" s="321">
        <f>'B7 Performance corr fusions'!T148/'B7 Performance corr fusions'!E148</f>
        <v>1672.2801006210118</v>
      </c>
      <c r="Q148" s="149">
        <f t="shared" si="26"/>
        <v>27.741246824454265</v>
      </c>
      <c r="R148" s="336">
        <f t="shared" si="27"/>
        <v>1.6868708671985002E-2</v>
      </c>
      <c r="S148" s="162"/>
      <c r="T148" s="162"/>
    </row>
    <row r="149" spans="1:20" ht="13.8" x14ac:dyDescent="0.25">
      <c r="A149" s="96">
        <v>2298</v>
      </c>
      <c r="B149" s="97" t="s">
        <v>268</v>
      </c>
      <c r="C149" s="104">
        <f>'B7 Performance corr fusions'!J149/'B7 Performance corr fusions'!C149</f>
        <v>1889.9316995390923</v>
      </c>
      <c r="D149" s="104">
        <f>'B7 Performance corr fusions'!R149/'B7 Performance corr fusions'!C149</f>
        <v>1946.2529043687646</v>
      </c>
      <c r="E149" s="143">
        <f t="shared" si="22"/>
        <v>56.321204829672297</v>
      </c>
      <c r="F149" s="147">
        <f t="shared" si="20"/>
        <v>2.9800656205410836E-2</v>
      </c>
      <c r="G149" s="175">
        <f>'[2]T1  PF2011'!P149</f>
        <v>62.963199179962956</v>
      </c>
      <c r="H149" s="157">
        <f t="shared" si="21"/>
        <v>2.4832508547621721</v>
      </c>
      <c r="I149" s="159">
        <f>'B7 Performance corr fusions'!L149/'B7 Performance corr fusions'!D149</f>
        <v>1847.9754357436434</v>
      </c>
      <c r="J149" s="98">
        <f>'B7 Performance corr fusions'!S149/'B7 Performance corr fusions'!D149</f>
        <v>1895.646037311956</v>
      </c>
      <c r="K149" s="149">
        <f t="shared" si="23"/>
        <v>47.670601568312577</v>
      </c>
      <c r="L149" s="152">
        <f t="shared" si="24"/>
        <v>2.5796122960438303E-2</v>
      </c>
      <c r="M149" s="347">
        <f>'[3]T2 PF2012'!$P149</f>
        <v>62.058545673908405</v>
      </c>
      <c r="N149" s="350">
        <f t="shared" si="25"/>
        <v>2.1211322370897179</v>
      </c>
      <c r="O149" s="333">
        <f>'B7 Performance corr fusions'!N149/'B7 Performance corr fusions'!E149</f>
        <v>1855.2582187020298</v>
      </c>
      <c r="P149" s="321">
        <f>'B7 Performance corr fusions'!T149/'B7 Performance corr fusions'!E149</f>
        <v>1901.120041466887</v>
      </c>
      <c r="Q149" s="149">
        <f t="shared" si="26"/>
        <v>45.861822764857152</v>
      </c>
      <c r="R149" s="336">
        <f t="shared" si="27"/>
        <v>2.4719913542246893E-2</v>
      </c>
      <c r="S149" s="162"/>
      <c r="T149" s="162"/>
    </row>
    <row r="150" spans="1:20" ht="13.8" x14ac:dyDescent="0.25">
      <c r="A150" s="96">
        <v>2299</v>
      </c>
      <c r="B150" s="97" t="s">
        <v>270</v>
      </c>
      <c r="C150" s="104">
        <f>'B7 Performance corr fusions'!J150/'B7 Performance corr fusions'!C150</f>
        <v>1705.3720845813737</v>
      </c>
      <c r="D150" s="104">
        <f>'B7 Performance corr fusions'!R150/'B7 Performance corr fusions'!C150</f>
        <v>1744.3483134976814</v>
      </c>
      <c r="E150" s="143">
        <f t="shared" si="22"/>
        <v>38.976228916307718</v>
      </c>
      <c r="F150" s="147">
        <f t="shared" si="20"/>
        <v>2.2854970635851245E-2</v>
      </c>
      <c r="G150" s="175">
        <f>'[2]T1  PF2011'!P150</f>
        <v>81.482481044289528</v>
      </c>
      <c r="H150" s="157">
        <f t="shared" si="21"/>
        <v>1.3279172621966966</v>
      </c>
      <c r="I150" s="159">
        <f>'B7 Performance corr fusions'!L150/'B7 Performance corr fusions'!D150</f>
        <v>1504.8102435991534</v>
      </c>
      <c r="J150" s="98">
        <f>'B7 Performance corr fusions'!S150/'B7 Performance corr fusions'!D150</f>
        <v>1525.8498153691805</v>
      </c>
      <c r="K150" s="149">
        <f t="shared" si="23"/>
        <v>21.039571770027123</v>
      </c>
      <c r="L150" s="152">
        <f t="shared" si="24"/>
        <v>1.3981544755905833E-2</v>
      </c>
      <c r="M150" s="347">
        <f>'[3]T2 PF2012'!$P150</f>
        <v>79.468508630514293</v>
      </c>
      <c r="N150" s="350">
        <f t="shared" si="25"/>
        <v>0.73107265377336761</v>
      </c>
      <c r="O150" s="333">
        <f>'B7 Performance corr fusions'!N150/'B7 Performance corr fusions'!E150</f>
        <v>1517.5005914657395</v>
      </c>
      <c r="P150" s="321">
        <f>'B7 Performance corr fusions'!T150/'B7 Performance corr fusions'!E150</f>
        <v>1537.9414248914695</v>
      </c>
      <c r="Q150" s="149">
        <f t="shared" si="26"/>
        <v>20.440833425730034</v>
      </c>
      <c r="R150" s="336">
        <f t="shared" si="27"/>
        <v>1.3470066200097112E-2</v>
      </c>
      <c r="S150" s="162"/>
      <c r="T150" s="162"/>
    </row>
    <row r="151" spans="1:20" ht="13.8" x14ac:dyDescent="0.25">
      <c r="A151" s="96">
        <v>2300</v>
      </c>
      <c r="B151" s="97" t="s">
        <v>272</v>
      </c>
      <c r="C151" s="104">
        <f>'B7 Performance corr fusions'!J151/'B7 Performance corr fusions'!C151</f>
        <v>1581.4731251916953</v>
      </c>
      <c r="D151" s="104">
        <f>'B7 Performance corr fusions'!R151/'B7 Performance corr fusions'!C151</f>
        <v>1609.6374358258922</v>
      </c>
      <c r="E151" s="143">
        <f t="shared" si="22"/>
        <v>28.164310634196909</v>
      </c>
      <c r="F151" s="147">
        <f t="shared" si="20"/>
        <v>1.7808908786093362E-2</v>
      </c>
      <c r="G151" s="175">
        <f>'[2]T1  PF2011'!P151</f>
        <v>68.385856433736876</v>
      </c>
      <c r="H151" s="157">
        <f t="shared" si="21"/>
        <v>1.1433212591645472</v>
      </c>
      <c r="I151" s="159">
        <f>'B7 Performance corr fusions'!L151/'B7 Performance corr fusions'!D151</f>
        <v>1424.5325251283343</v>
      </c>
      <c r="J151" s="98">
        <f>'B7 Performance corr fusions'!S151/'B7 Performance corr fusions'!D151</f>
        <v>1441.6029474598001</v>
      </c>
      <c r="K151" s="149">
        <f t="shared" si="23"/>
        <v>17.070422331465807</v>
      </c>
      <c r="L151" s="152">
        <f t="shared" si="24"/>
        <v>1.1983174852345301E-2</v>
      </c>
      <c r="M151" s="347">
        <f>'[3]T2 PF2012'!$P151</f>
        <v>72.461634160570526</v>
      </c>
      <c r="N151" s="350">
        <f t="shared" si="25"/>
        <v>0.65051130388830525</v>
      </c>
      <c r="O151" s="333">
        <f>'B7 Performance corr fusions'!N151/'B7 Performance corr fusions'!E151</f>
        <v>1443.4544132813444</v>
      </c>
      <c r="P151" s="321">
        <f>'B7 Performance corr fusions'!T151/'B7 Performance corr fusions'!E151</f>
        <v>1460.0647477244324</v>
      </c>
      <c r="Q151" s="149">
        <f t="shared" si="26"/>
        <v>16.61033444308805</v>
      </c>
      <c r="R151" s="336">
        <f t="shared" si="27"/>
        <v>1.1507349515339714E-2</v>
      </c>
      <c r="S151" s="162"/>
      <c r="T151" s="162"/>
    </row>
    <row r="152" spans="1:20" ht="13.8" x14ac:dyDescent="0.25">
      <c r="A152" s="96">
        <v>2301</v>
      </c>
      <c r="B152" s="97" t="s">
        <v>274</v>
      </c>
      <c r="C152" s="104">
        <f>'B7 Performance corr fusions'!J152/'B7 Performance corr fusions'!C152</f>
        <v>1476.3050764448392</v>
      </c>
      <c r="D152" s="104">
        <f>'B7 Performance corr fusions'!R152/'B7 Performance corr fusions'!C152</f>
        <v>1498.09720506131</v>
      </c>
      <c r="E152" s="143">
        <f t="shared" si="22"/>
        <v>21.792128616470791</v>
      </c>
      <c r="F152" s="147">
        <f t="shared" si="20"/>
        <v>1.4761263755151108E-2</v>
      </c>
      <c r="G152" s="175">
        <f>'[2]T1  PF2011'!P152</f>
        <v>78.644854651261483</v>
      </c>
      <c r="H152" s="157">
        <f t="shared" si="21"/>
        <v>0.769245178395359</v>
      </c>
      <c r="I152" s="159">
        <f>'B7 Performance corr fusions'!L152/'B7 Performance corr fusions'!D152</f>
        <v>1554.741220142542</v>
      </c>
      <c r="J152" s="98">
        <f>'B7 Performance corr fusions'!S152/'B7 Performance corr fusions'!D152</f>
        <v>1579.1518183239878</v>
      </c>
      <c r="K152" s="149">
        <f t="shared" si="23"/>
        <v>24.410598181445721</v>
      </c>
      <c r="L152" s="152">
        <f t="shared" si="24"/>
        <v>1.5700746764279978E-2</v>
      </c>
      <c r="M152" s="347">
        <f>'[3]T2 PF2012'!$P152</f>
        <v>77.599614160746924</v>
      </c>
      <c r="N152" s="350">
        <f t="shared" si="25"/>
        <v>0.86863548282008862</v>
      </c>
      <c r="O152" s="333">
        <f>'B7 Performance corr fusions'!N152/'B7 Performance corr fusions'!E152</f>
        <v>1613.6714108425808</v>
      </c>
      <c r="P152" s="321">
        <f>'B7 Performance corr fusions'!T152/'B7 Performance corr fusions'!E152</f>
        <v>1640.3813983042312</v>
      </c>
      <c r="Q152" s="149">
        <f t="shared" si="26"/>
        <v>26.709987461650371</v>
      </c>
      <c r="R152" s="336">
        <f t="shared" si="27"/>
        <v>1.6552308779953978E-2</v>
      </c>
      <c r="S152" s="162"/>
      <c r="T152" s="162"/>
    </row>
    <row r="153" spans="1:20" ht="13.8" x14ac:dyDescent="0.25">
      <c r="A153" s="96">
        <v>2302</v>
      </c>
      <c r="B153" s="97" t="s">
        <v>276</v>
      </c>
      <c r="C153" s="104">
        <f>'B7 Performance corr fusions'!J153/'B7 Performance corr fusions'!C153</f>
        <v>1676.1587377072474</v>
      </c>
      <c r="D153" s="104">
        <f>'B7 Performance corr fusions'!R153/'B7 Performance corr fusions'!C153</f>
        <v>1712.8679217211309</v>
      </c>
      <c r="E153" s="143">
        <f t="shared" si="22"/>
        <v>36.709184013883487</v>
      </c>
      <c r="F153" s="147">
        <f t="shared" si="20"/>
        <v>2.1900780151703627E-2</v>
      </c>
      <c r="G153" s="175">
        <f>'[2]T1  PF2011'!P153</f>
        <v>78.29393617132115</v>
      </c>
      <c r="H153" s="157">
        <f t="shared" si="21"/>
        <v>1.3016135078445492</v>
      </c>
      <c r="I153" s="159">
        <f>'B7 Performance corr fusions'!L153/'B7 Performance corr fusions'!D153</f>
        <v>1492.4598253728739</v>
      </c>
      <c r="J153" s="98">
        <f>'B7 Performance corr fusions'!S153/'B7 Performance corr fusions'!D153</f>
        <v>1513.1686815464086</v>
      </c>
      <c r="K153" s="149">
        <f t="shared" si="23"/>
        <v>20.708856173534741</v>
      </c>
      <c r="L153" s="152">
        <f t="shared" si="24"/>
        <v>1.3875654018600381E-2</v>
      </c>
      <c r="M153" s="347">
        <f>'[3]T2 PF2012'!$P153</f>
        <v>75.949348599009895</v>
      </c>
      <c r="N153" s="350">
        <f t="shared" si="25"/>
        <v>0.752923347244703</v>
      </c>
      <c r="O153" s="333">
        <f>'B7 Performance corr fusions'!N153/'B7 Performance corr fusions'!E153</f>
        <v>1524.9944215470521</v>
      </c>
      <c r="P153" s="321">
        <f>'B7 Performance corr fusions'!T153/'B7 Performance corr fusions'!E153</f>
        <v>1546.4584955521452</v>
      </c>
      <c r="Q153" s="149">
        <f t="shared" si="26"/>
        <v>21.464074005093153</v>
      </c>
      <c r="R153" s="336">
        <f t="shared" si="27"/>
        <v>1.4074854112134142E-2</v>
      </c>
      <c r="S153" s="162"/>
      <c r="T153" s="162"/>
    </row>
    <row r="154" spans="1:20" ht="13.8" x14ac:dyDescent="0.25">
      <c r="A154" s="96">
        <v>2303</v>
      </c>
      <c r="B154" s="97" t="s">
        <v>278</v>
      </c>
      <c r="C154" s="104">
        <f>'B7 Performance corr fusions'!J154/'B7 Performance corr fusions'!C154</f>
        <v>1650.3822551712531</v>
      </c>
      <c r="D154" s="104">
        <f>'B7 Performance corr fusions'!R154/'B7 Performance corr fusions'!C154</f>
        <v>1683.9918255964701</v>
      </c>
      <c r="E154" s="143">
        <f t="shared" si="22"/>
        <v>33.609570425217044</v>
      </c>
      <c r="F154" s="147">
        <f t="shared" si="20"/>
        <v>2.0364718731012726E-2</v>
      </c>
      <c r="G154" s="175">
        <f>'[2]T1  PF2011'!P154</f>
        <v>60.359219279920474</v>
      </c>
      <c r="H154" s="157">
        <f t="shared" si="21"/>
        <v>1.5458052978205614</v>
      </c>
      <c r="I154" s="159">
        <f>'B7 Performance corr fusions'!L154/'B7 Performance corr fusions'!D154</f>
        <v>1507.6331963365892</v>
      </c>
      <c r="J154" s="98">
        <f>'B7 Performance corr fusions'!S154/'B7 Performance corr fusions'!D154</f>
        <v>1528.7393112582397</v>
      </c>
      <c r="K154" s="149">
        <f t="shared" si="23"/>
        <v>21.106114921650487</v>
      </c>
      <c r="L154" s="152">
        <f t="shared" si="24"/>
        <v>1.3999502646224835E-2</v>
      </c>
      <c r="M154" s="347">
        <f>'[3]T2 PF2012'!$P154</f>
        <v>63.649542227411935</v>
      </c>
      <c r="N154" s="350">
        <f t="shared" si="25"/>
        <v>0.91565468068088163</v>
      </c>
      <c r="O154" s="333">
        <f>'B7 Performance corr fusions'!N154/'B7 Performance corr fusions'!E154</f>
        <v>1536.2351666690204</v>
      </c>
      <c r="P154" s="321">
        <f>'B7 Performance corr fusions'!T154/'B7 Performance corr fusions'!E154</f>
        <v>1557.696242494347</v>
      </c>
      <c r="Q154" s="149">
        <f t="shared" si="26"/>
        <v>21.461075825326589</v>
      </c>
      <c r="R154" s="336">
        <f t="shared" si="27"/>
        <v>1.3969915733578794E-2</v>
      </c>
      <c r="S154" s="162"/>
      <c r="T154" s="162"/>
    </row>
    <row r="155" spans="1:20" ht="13.8" x14ac:dyDescent="0.25">
      <c r="A155" s="96">
        <v>2304</v>
      </c>
      <c r="B155" s="97" t="s">
        <v>280</v>
      </c>
      <c r="C155" s="104">
        <f>'B7 Performance corr fusions'!J155/'B7 Performance corr fusions'!C155</f>
        <v>1742.4902194332058</v>
      </c>
      <c r="D155" s="104">
        <f>'B7 Performance corr fusions'!R155/'B7 Performance corr fusions'!C155</f>
        <v>1784.4355048640007</v>
      </c>
      <c r="E155" s="143">
        <f t="shared" si="22"/>
        <v>41.945285430794911</v>
      </c>
      <c r="F155" s="147">
        <f t="shared" si="20"/>
        <v>2.4072034931960078E-2</v>
      </c>
      <c r="G155" s="175">
        <f>'[2]T1  PF2011'!P155</f>
        <v>75.459425590814845</v>
      </c>
      <c r="H155" s="157">
        <f t="shared" si="21"/>
        <v>1.5431391960135361</v>
      </c>
      <c r="I155" s="159">
        <f>'B7 Performance corr fusions'!L155/'B7 Performance corr fusions'!D155</f>
        <v>1656.7203877823956</v>
      </c>
      <c r="J155" s="98">
        <f>'B7 Performance corr fusions'!S155/'B7 Performance corr fusions'!D155</f>
        <v>1688.13960508284</v>
      </c>
      <c r="K155" s="149">
        <f t="shared" si="23"/>
        <v>31.419217300444416</v>
      </c>
      <c r="L155" s="152">
        <f t="shared" si="24"/>
        <v>1.8964707341170971E-2</v>
      </c>
      <c r="M155" s="347">
        <f>'[3]T2 PF2012'!$P155</f>
        <v>76.564382286199887</v>
      </c>
      <c r="N155" s="350">
        <f t="shared" si="25"/>
        <v>1.1331496909706644</v>
      </c>
      <c r="O155" s="333">
        <f>'B7 Performance corr fusions'!N155/'B7 Performance corr fusions'!E155</f>
        <v>1679.1532117911909</v>
      </c>
      <c r="P155" s="321">
        <f>'B7 Performance corr fusions'!T155/'B7 Performance corr fusions'!E155</f>
        <v>1709.634912401827</v>
      </c>
      <c r="Q155" s="149">
        <f t="shared" si="26"/>
        <v>30.481700610636153</v>
      </c>
      <c r="R155" s="336">
        <f t="shared" si="27"/>
        <v>1.8153019269826265E-2</v>
      </c>
      <c r="S155" s="162"/>
      <c r="T155" s="162"/>
    </row>
    <row r="156" spans="1:20" ht="13.8" x14ac:dyDescent="0.25">
      <c r="A156" s="96">
        <v>2305</v>
      </c>
      <c r="B156" s="97" t="s">
        <v>282</v>
      </c>
      <c r="C156" s="104">
        <f>'B7 Performance corr fusions'!J156/'B7 Performance corr fusions'!C156</f>
        <v>1752.8008124476034</v>
      </c>
      <c r="D156" s="104">
        <f>'B7 Performance corr fusions'!R156/'B7 Performance corr fusions'!C156</f>
        <v>1794.28521224577</v>
      </c>
      <c r="E156" s="143">
        <f t="shared" si="22"/>
        <v>41.484399798166578</v>
      </c>
      <c r="F156" s="147">
        <f t="shared" si="20"/>
        <v>2.3667492337727719E-2</v>
      </c>
      <c r="G156" s="175">
        <f>'[2]T1  PF2011'!P156</f>
        <v>104.67538812964588</v>
      </c>
      <c r="H156" s="157">
        <f t="shared" si="21"/>
        <v>1.1002102193936323</v>
      </c>
      <c r="I156" s="159">
        <f>'B7 Performance corr fusions'!L156/'B7 Performance corr fusions'!D156</f>
        <v>1751.9950426708401</v>
      </c>
      <c r="J156" s="98">
        <f>'B7 Performance corr fusions'!S156/'B7 Performance corr fusions'!D156</f>
        <v>1789.846947709525</v>
      </c>
      <c r="K156" s="149">
        <f t="shared" si="23"/>
        <v>37.85190503868489</v>
      </c>
      <c r="L156" s="152">
        <f t="shared" si="24"/>
        <v>2.1605029761374957E-2</v>
      </c>
      <c r="M156" s="347">
        <f>'[3]T2 PF2012'!$P156</f>
        <v>105.06734633153019</v>
      </c>
      <c r="N156" s="350">
        <f t="shared" si="25"/>
        <v>0.9948066601637926</v>
      </c>
      <c r="O156" s="333">
        <f>'B7 Performance corr fusions'!N156/'B7 Performance corr fusions'!E156</f>
        <v>1768.1870501382102</v>
      </c>
      <c r="P156" s="321">
        <f>'B7 Performance corr fusions'!T156/'B7 Performance corr fusions'!E156</f>
        <v>1805.6489904167026</v>
      </c>
      <c r="Q156" s="149">
        <f t="shared" si="26"/>
        <v>37.46194027849242</v>
      </c>
      <c r="R156" s="336">
        <f t="shared" si="27"/>
        <v>2.1186638752706741E-2</v>
      </c>
      <c r="S156" s="162"/>
      <c r="T156" s="162"/>
    </row>
    <row r="157" spans="1:20" ht="13.8" x14ac:dyDescent="0.25">
      <c r="A157" s="96">
        <v>2306</v>
      </c>
      <c r="B157" s="97" t="s">
        <v>284</v>
      </c>
      <c r="C157" s="104">
        <f>'B7 Performance corr fusions'!J157/'B7 Performance corr fusions'!C157</f>
        <v>1837.691361599477</v>
      </c>
      <c r="D157" s="104">
        <f>'B7 Performance corr fusions'!R157/'B7 Performance corr fusions'!C157</f>
        <v>1885.1300684673784</v>
      </c>
      <c r="E157" s="143">
        <f t="shared" si="22"/>
        <v>47.438706867901374</v>
      </c>
      <c r="F157" s="147">
        <f t="shared" si="20"/>
        <v>2.5814294967688157E-2</v>
      </c>
      <c r="G157" s="175">
        <f>'[2]T1  PF2011'!P157</f>
        <v>96.634681596959496</v>
      </c>
      <c r="H157" s="157">
        <f t="shared" si="21"/>
        <v>1.3628098552135548</v>
      </c>
      <c r="I157" s="159">
        <f>'B7 Performance corr fusions'!L157/'B7 Performance corr fusions'!D157</f>
        <v>1714.0616152615523</v>
      </c>
      <c r="J157" s="98">
        <f>'B7 Performance corr fusions'!S157/'B7 Performance corr fusions'!D157</f>
        <v>1747.2286956756682</v>
      </c>
      <c r="K157" s="149">
        <f t="shared" si="23"/>
        <v>33.167080414115844</v>
      </c>
      <c r="L157" s="152">
        <f t="shared" si="24"/>
        <v>1.9349993091733058E-2</v>
      </c>
      <c r="M157" s="347">
        <f>'[3]T2 PF2012'!$P157</f>
        <v>101.52017735496503</v>
      </c>
      <c r="N157" s="350">
        <f t="shared" si="25"/>
        <v>0.90213925693933639</v>
      </c>
      <c r="O157" s="333">
        <f>'B7 Performance corr fusions'!N157/'B7 Performance corr fusions'!E157</f>
        <v>1725.3651639592831</v>
      </c>
      <c r="P157" s="321">
        <f>'B7 Performance corr fusions'!T157/'B7 Performance corr fusions'!E157</f>
        <v>1758.8566376139272</v>
      </c>
      <c r="Q157" s="149">
        <f t="shared" si="26"/>
        <v>33.491473654644096</v>
      </c>
      <c r="R157" s="336">
        <f t="shared" si="27"/>
        <v>1.9411237895744636E-2</v>
      </c>
      <c r="S157" s="162"/>
      <c r="T157" s="162"/>
    </row>
    <row r="158" spans="1:20" ht="13.8" x14ac:dyDescent="0.25">
      <c r="A158" s="96">
        <v>2307</v>
      </c>
      <c r="B158" s="97" t="s">
        <v>286</v>
      </c>
      <c r="C158" s="104">
        <f>'B7 Performance corr fusions'!J158/'B7 Performance corr fusions'!C158</f>
        <v>1749.192104892564</v>
      </c>
      <c r="D158" s="104">
        <f>'B7 Performance corr fusions'!R158/'B7 Performance corr fusions'!C158</f>
        <v>1791.0537777000648</v>
      </c>
      <c r="E158" s="143">
        <f t="shared" si="22"/>
        <v>41.861672807500781</v>
      </c>
      <c r="F158" s="147">
        <f t="shared" si="20"/>
        <v>2.3932004203776086E-2</v>
      </c>
      <c r="G158" s="175">
        <f>'[2]T1  PF2011'!P158</f>
        <v>90.425205725266622</v>
      </c>
      <c r="H158" s="157">
        <f t="shared" si="21"/>
        <v>1.285175734154254</v>
      </c>
      <c r="I158" s="159">
        <f>'B7 Performance corr fusions'!L158/'B7 Performance corr fusions'!D158</f>
        <v>1687.7728678941846</v>
      </c>
      <c r="J158" s="98">
        <f>'B7 Performance corr fusions'!S158/'B7 Performance corr fusions'!D158</f>
        <v>1721.3659955015612</v>
      </c>
      <c r="K158" s="149">
        <f t="shared" si="23"/>
        <v>33.593127607376573</v>
      </c>
      <c r="L158" s="152">
        <f t="shared" si="24"/>
        <v>1.9903820144525929E-2</v>
      </c>
      <c r="M158" s="347">
        <f>'[3]T2 PF2012'!$P158</f>
        <v>87.240804986974737</v>
      </c>
      <c r="N158" s="350">
        <f t="shared" si="25"/>
        <v>1.0632844956229202</v>
      </c>
      <c r="O158" s="333">
        <f>'B7 Performance corr fusions'!N158/'B7 Performance corr fusions'!E158</f>
        <v>1692.5350512221053</v>
      </c>
      <c r="P158" s="321">
        <f>'B7 Performance corr fusions'!T158/'B7 Performance corr fusions'!E158</f>
        <v>1725.016375111717</v>
      </c>
      <c r="Q158" s="149">
        <f t="shared" si="26"/>
        <v>32.481323889611758</v>
      </c>
      <c r="R158" s="336">
        <f t="shared" si="27"/>
        <v>1.9190931299271127E-2</v>
      </c>
      <c r="S158" s="162"/>
      <c r="T158" s="162"/>
    </row>
    <row r="159" spans="1:20" ht="13.8" x14ac:dyDescent="0.25">
      <c r="A159" s="96">
        <v>2308</v>
      </c>
      <c r="B159" s="97" t="s">
        <v>308</v>
      </c>
      <c r="C159" s="104">
        <f>'B7 Performance corr fusions'!J159/'B7 Performance corr fusions'!C159</f>
        <v>1533.7007108916528</v>
      </c>
      <c r="D159" s="104">
        <f>'B7 Performance corr fusions'!R159/'B7 Performance corr fusions'!C159</f>
        <v>1558.6761693368765</v>
      </c>
      <c r="E159" s="143">
        <f t="shared" si="22"/>
        <v>24.975458445223694</v>
      </c>
      <c r="F159" s="147">
        <f t="shared" si="20"/>
        <v>1.6284440808991753E-2</v>
      </c>
      <c r="G159" s="175">
        <f>'[2]T1  PF2011'!P159</f>
        <v>86.606483630207762</v>
      </c>
      <c r="H159" s="157">
        <f t="shared" si="21"/>
        <v>0.80056851568367804</v>
      </c>
      <c r="I159" s="159">
        <f>'B7 Performance corr fusions'!L159/'B7 Performance corr fusions'!D159</f>
        <v>1605.5543694163789</v>
      </c>
      <c r="J159" s="98">
        <f>'B7 Performance corr fusions'!S159/'B7 Performance corr fusions'!D159</f>
        <v>1632.9662178283179</v>
      </c>
      <c r="K159" s="149">
        <f t="shared" si="23"/>
        <v>27.41184841193899</v>
      </c>
      <c r="L159" s="152">
        <f t="shared" si="24"/>
        <v>1.7073136191521957E-2</v>
      </c>
      <c r="M159" s="347">
        <f>'[3]T2 PF2012'!$P159</f>
        <v>90.164969083049101</v>
      </c>
      <c r="N159" s="350">
        <f t="shared" si="25"/>
        <v>0.83949707864263678</v>
      </c>
      <c r="O159" s="333">
        <f>'B7 Performance corr fusions'!N159/'B7 Performance corr fusions'!E159</f>
        <v>1642.2193349618658</v>
      </c>
      <c r="P159" s="321">
        <f>'B7 Performance corr fusions'!T159/'B7 Performance corr fusions'!E159</f>
        <v>1670.7838215142456</v>
      </c>
      <c r="Q159" s="149">
        <f t="shared" si="26"/>
        <v>28.564486552379776</v>
      </c>
      <c r="R159" s="336">
        <f t="shared" si="27"/>
        <v>1.7393831593782251E-2</v>
      </c>
      <c r="S159" s="162"/>
      <c r="T159" s="162"/>
    </row>
    <row r="160" spans="1:20" ht="13.8" x14ac:dyDescent="0.25">
      <c r="A160" s="96">
        <v>2309</v>
      </c>
      <c r="B160" s="97" t="s">
        <v>289</v>
      </c>
      <c r="C160" s="104">
        <f>'B7 Performance corr fusions'!J160/'B7 Performance corr fusions'!C160</f>
        <v>1798.8547945785795</v>
      </c>
      <c r="D160" s="104">
        <f>'B7 Performance corr fusions'!R160/'B7 Performance corr fusions'!C160</f>
        <v>1846.2087761274822</v>
      </c>
      <c r="E160" s="143">
        <f t="shared" si="22"/>
        <v>47.353981548902766</v>
      </c>
      <c r="F160" s="147">
        <f t="shared" si="20"/>
        <v>2.632451584842703E-2</v>
      </c>
      <c r="G160" s="175">
        <f>'[2]T1  PF2011'!P160</f>
        <v>88.249030088503005</v>
      </c>
      <c r="H160" s="157">
        <f t="shared" si="21"/>
        <v>1.4896423242628676</v>
      </c>
      <c r="I160" s="159">
        <f>'B7 Performance corr fusions'!L160/'B7 Performance corr fusions'!D160</f>
        <v>1689.3607788089923</v>
      </c>
      <c r="J160" s="98">
        <f>'B7 Performance corr fusions'!S160/'B7 Performance corr fusions'!D160</f>
        <v>1723.3318194353164</v>
      </c>
      <c r="K160" s="149">
        <f t="shared" si="23"/>
        <v>33.971040626324111</v>
      </c>
      <c r="L160" s="152">
        <f t="shared" si="24"/>
        <v>2.0108813376307849E-2</v>
      </c>
      <c r="M160" s="347">
        <f>'[3]T2 PF2012'!$P160</f>
        <v>89.402767004225339</v>
      </c>
      <c r="N160" s="350">
        <f t="shared" si="25"/>
        <v>1.0492442457460893</v>
      </c>
      <c r="O160" s="333">
        <f>'B7 Performance corr fusions'!N160/'B7 Performance corr fusions'!E160</f>
        <v>1708.4148340134577</v>
      </c>
      <c r="P160" s="321">
        <f>'B7 Performance corr fusions'!T160/'B7 Performance corr fusions'!E160</f>
        <v>1741.5610143675306</v>
      </c>
      <c r="Q160" s="149">
        <f t="shared" si="26"/>
        <v>33.14618035407284</v>
      </c>
      <c r="R160" s="336">
        <f t="shared" si="27"/>
        <v>1.9401716546914353E-2</v>
      </c>
      <c r="S160" s="162"/>
      <c r="T160" s="162"/>
    </row>
    <row r="161" spans="1:20" ht="13.8" x14ac:dyDescent="0.25">
      <c r="A161" s="96">
        <v>2310</v>
      </c>
      <c r="B161" s="97" t="s">
        <v>291</v>
      </c>
      <c r="C161" s="104">
        <f>'B7 Performance corr fusions'!J161/'B7 Performance corr fusions'!C161</f>
        <v>2163.8497872882567</v>
      </c>
      <c r="D161" s="104">
        <f>'B7 Performance corr fusions'!R161/'B7 Performance corr fusions'!C161</f>
        <v>2271.3784805728069</v>
      </c>
      <c r="E161" s="143">
        <f t="shared" si="22"/>
        <v>107.52869328455017</v>
      </c>
      <c r="F161" s="147">
        <f t="shared" si="20"/>
        <v>4.969323375228623E-2</v>
      </c>
      <c r="G161" s="175">
        <f>'[2]T1  PF2011'!P161</f>
        <v>59.704393033156244</v>
      </c>
      <c r="H161" s="157">
        <f t="shared" si="21"/>
        <v>4.9998102676134737</v>
      </c>
      <c r="I161" s="159">
        <f>'B7 Performance corr fusions'!L161/'B7 Performance corr fusions'!D161</f>
        <v>1534.2748127961352</v>
      </c>
      <c r="J161" s="98">
        <f>'B7 Performance corr fusions'!S161/'B7 Performance corr fusions'!D161</f>
        <v>1558.5574504616936</v>
      </c>
      <c r="K161" s="149">
        <f t="shared" si="23"/>
        <v>24.282637665558468</v>
      </c>
      <c r="L161" s="152">
        <f t="shared" si="24"/>
        <v>1.582678504726584E-2</v>
      </c>
      <c r="M161" s="347">
        <f>'[3]T2 PF2012'!$P161</f>
        <v>60.271345921653797</v>
      </c>
      <c r="N161" s="350">
        <f t="shared" si="25"/>
        <v>1.1125093650305273</v>
      </c>
      <c r="O161" s="333">
        <f>'B7 Performance corr fusions'!N161/'B7 Performance corr fusions'!E161</f>
        <v>1562.8204210051044</v>
      </c>
      <c r="P161" s="321">
        <f>'B7 Performance corr fusions'!T161/'B7 Performance corr fusions'!E161</f>
        <v>1585.7910484085151</v>
      </c>
      <c r="Q161" s="149">
        <f t="shared" si="26"/>
        <v>22.970627403410617</v>
      </c>
      <c r="R161" s="336">
        <f t="shared" si="27"/>
        <v>1.4698187389077886E-2</v>
      </c>
      <c r="S161" s="162"/>
      <c r="T161" s="162"/>
    </row>
    <row r="162" spans="1:20" ht="13.8" x14ac:dyDescent="0.25">
      <c r="A162" s="96">
        <v>2321</v>
      </c>
      <c r="B162" s="97" t="s">
        <v>386</v>
      </c>
      <c r="C162" s="104">
        <f>'B7 Performance corr fusions'!J162/'B7 Performance corr fusions'!C162</f>
        <v>1776.5151763807173</v>
      </c>
      <c r="D162" s="104">
        <f>'B7 Performance corr fusions'!R162/'B7 Performance corr fusions'!C162</f>
        <v>1819.5467864393777</v>
      </c>
      <c r="E162" s="143">
        <f t="shared" si="22"/>
        <v>43.031610058660362</v>
      </c>
      <c r="F162" s="147">
        <f t="shared" si="20"/>
        <v>2.4222483787798749E-2</v>
      </c>
      <c r="G162" s="175">
        <f>'[2]T1  PF2011'!P162</f>
        <v>92.06213959650853</v>
      </c>
      <c r="H162" s="157">
        <f t="shared" si="21"/>
        <v>1.2976034013923692</v>
      </c>
      <c r="I162" s="159">
        <f>'B7 Performance corr fusions'!L162/'B7 Performance corr fusions'!D162</f>
        <v>1925.6066360231168</v>
      </c>
      <c r="J162" s="98">
        <f>'B7 Performance corr fusions'!S162/'B7 Performance corr fusions'!D162</f>
        <v>1979.4581400441803</v>
      </c>
      <c r="K162" s="149">
        <f t="shared" si="23"/>
        <v>53.85150402106342</v>
      </c>
      <c r="L162" s="152">
        <f t="shared" si="24"/>
        <v>2.7965994203406418E-2</v>
      </c>
      <c r="M162" s="347">
        <f>'[3]T2 PF2012'!$P162</f>
        <v>93.148485308489143</v>
      </c>
      <c r="N162" s="350">
        <f t="shared" si="25"/>
        <v>1.5963964223220817</v>
      </c>
      <c r="O162" s="333">
        <f>'B7 Performance corr fusions'!N162/'B7 Performance corr fusions'!E162</f>
        <v>1955.5328021710175</v>
      </c>
      <c r="P162" s="321">
        <f>'B7 Performance corr fusions'!T162/'B7 Performance corr fusions'!E162</f>
        <v>2010.0745006415214</v>
      </c>
      <c r="Q162" s="149">
        <f t="shared" si="26"/>
        <v>54.541698470503889</v>
      </c>
      <c r="R162" s="336">
        <f t="shared" si="27"/>
        <v>2.7890965781781882E-2</v>
      </c>
      <c r="S162" s="162"/>
      <c r="T162" s="162"/>
    </row>
    <row r="163" spans="1:20" ht="13.8" x14ac:dyDescent="0.25">
      <c r="A163" s="96">
        <v>2323</v>
      </c>
      <c r="B163" s="97" t="s">
        <v>294</v>
      </c>
      <c r="C163" s="104">
        <f>'B7 Performance corr fusions'!J163/'B7 Performance corr fusions'!C163</f>
        <v>1692.8275297471898</v>
      </c>
      <c r="D163" s="104">
        <f>'B7 Performance corr fusions'!R163/'B7 Performance corr fusions'!C163</f>
        <v>1728.5413094065591</v>
      </c>
      <c r="E163" s="143">
        <f t="shared" si="22"/>
        <v>35.713779659369266</v>
      </c>
      <c r="F163" s="147">
        <f t="shared" si="20"/>
        <v>2.1097116529468794E-2</v>
      </c>
      <c r="G163" s="175">
        <f>'[2]T1  PF2011'!P163</f>
        <v>79.769912574528874</v>
      </c>
      <c r="H163" s="157">
        <f t="shared" si="21"/>
        <v>1.2428884215607066</v>
      </c>
      <c r="I163" s="159">
        <f>'B7 Performance corr fusions'!L163/'B7 Performance corr fusions'!D163</f>
        <v>1922.0779451013227</v>
      </c>
      <c r="J163" s="98">
        <f>'B7 Performance corr fusions'!S163/'B7 Performance corr fusions'!D163</f>
        <v>1977.7342622956496</v>
      </c>
      <c r="K163" s="149">
        <f t="shared" si="23"/>
        <v>55.656317194326903</v>
      </c>
      <c r="L163" s="152">
        <f t="shared" si="24"/>
        <v>2.8956326842090149E-2</v>
      </c>
      <c r="M163" s="347">
        <f>'[3]T2 PF2012'!$P163</f>
        <v>84.907902664962407</v>
      </c>
      <c r="N163" s="350">
        <f t="shared" si="25"/>
        <v>1.8100270193332868</v>
      </c>
      <c r="O163" s="333">
        <f>'B7 Performance corr fusions'!N163/'B7 Performance corr fusions'!E163</f>
        <v>1961.242386994875</v>
      </c>
      <c r="P163" s="321">
        <f>'B7 Performance corr fusions'!T163/'B7 Performance corr fusions'!E163</f>
        <v>2017.1485138112862</v>
      </c>
      <c r="Q163" s="149">
        <f t="shared" si="26"/>
        <v>55.906126816411188</v>
      </c>
      <c r="R163" s="336">
        <f t="shared" si="27"/>
        <v>2.8505465304609123E-2</v>
      </c>
      <c r="S163" s="162"/>
      <c r="T163" s="162"/>
    </row>
    <row r="164" spans="1:20" ht="13.8" x14ac:dyDescent="0.25">
      <c r="A164" s="96">
        <v>2325</v>
      </c>
      <c r="B164" s="97" t="s">
        <v>296</v>
      </c>
      <c r="C164" s="104">
        <f>'B7 Performance corr fusions'!J164/'B7 Performance corr fusions'!C164</f>
        <v>1657.2559838475183</v>
      </c>
      <c r="D164" s="104">
        <f>'B7 Performance corr fusions'!R164/'B7 Performance corr fusions'!C164</f>
        <v>1690.1361110900739</v>
      </c>
      <c r="E164" s="143">
        <f t="shared" si="22"/>
        <v>32.880127242555545</v>
      </c>
      <c r="F164" s="147">
        <f t="shared" si="20"/>
        <v>1.9840101687984491E-2</v>
      </c>
      <c r="G164" s="175">
        <f>'[2]T1  PF2011'!P164</f>
        <v>107.87472372206719</v>
      </c>
      <c r="H164" s="157">
        <f t="shared" si="21"/>
        <v>0.84615365855290303</v>
      </c>
      <c r="I164" s="159">
        <f>'B7 Performance corr fusions'!L164/'B7 Performance corr fusions'!D164</f>
        <v>1796.8094173776269</v>
      </c>
      <c r="J164" s="98">
        <f>'B7 Performance corr fusions'!S164/'B7 Performance corr fusions'!D164</f>
        <v>1837.7226189038167</v>
      </c>
      <c r="K164" s="149">
        <f t="shared" si="23"/>
        <v>40.913201526189823</v>
      </c>
      <c r="L164" s="152">
        <f t="shared" si="24"/>
        <v>2.2769917126715108E-2</v>
      </c>
      <c r="M164" s="347">
        <f>'[3]T2 PF2012'!$P164</f>
        <v>108.20503009690641</v>
      </c>
      <c r="N164" s="350">
        <f t="shared" si="25"/>
        <v>1.0440822696007861</v>
      </c>
      <c r="O164" s="333">
        <f>'B7 Performance corr fusions'!N164/'B7 Performance corr fusions'!E164</f>
        <v>1816.7185211409949</v>
      </c>
      <c r="P164" s="321">
        <f>'B7 Performance corr fusions'!T164/'B7 Performance corr fusions'!E164</f>
        <v>1857.3212305390055</v>
      </c>
      <c r="Q164" s="149">
        <f t="shared" si="26"/>
        <v>40.602709398010575</v>
      </c>
      <c r="R164" s="336">
        <f t="shared" si="27"/>
        <v>2.2349477327126017E-2</v>
      </c>
      <c r="S164" s="162"/>
      <c r="T164" s="162"/>
    </row>
    <row r="165" spans="1:20" ht="13.8" x14ac:dyDescent="0.25">
      <c r="A165" s="96">
        <v>2328</v>
      </c>
      <c r="B165" s="97" t="s">
        <v>299</v>
      </c>
      <c r="C165" s="104">
        <f>'B7 Performance corr fusions'!J165/'B7 Performance corr fusions'!C165</f>
        <v>1551.9160918837551</v>
      </c>
      <c r="D165" s="104">
        <f>'B7 Performance corr fusions'!R165/'B7 Performance corr fusions'!C165</f>
        <v>1578.1213133516212</v>
      </c>
      <c r="E165" s="143">
        <f t="shared" si="22"/>
        <v>26.205221467866068</v>
      </c>
      <c r="F165" s="147">
        <f t="shared" si="20"/>
        <v>1.6885720564993628E-2</v>
      </c>
      <c r="G165" s="175">
        <f>'[2]T1  PF2011'!P165</f>
        <v>91.875896469130211</v>
      </c>
      <c r="H165" s="157">
        <f t="shared" si="21"/>
        <v>0.79181128700013537</v>
      </c>
      <c r="I165" s="159">
        <f>'B7 Performance corr fusions'!L165/'B7 Performance corr fusions'!D165</f>
        <v>1958.2470270497131</v>
      </c>
      <c r="J165" s="98">
        <f>'B7 Performance corr fusions'!S165/'B7 Performance corr fusions'!D165</f>
        <v>2017.8051698444108</v>
      </c>
      <c r="K165" s="149">
        <f t="shared" si="23"/>
        <v>59.558142794697687</v>
      </c>
      <c r="L165" s="152">
        <f t="shared" si="24"/>
        <v>3.041400904584941E-2</v>
      </c>
      <c r="M165" s="347">
        <f>'[3]T2 PF2012'!$P165</f>
        <v>86.104340380072088</v>
      </c>
      <c r="N165" s="350">
        <f t="shared" si="25"/>
        <v>1.9100063379594356</v>
      </c>
      <c r="O165" s="333">
        <f>'B7 Performance corr fusions'!N165/'B7 Performance corr fusions'!E165</f>
        <v>1986.2218205992492</v>
      </c>
      <c r="P165" s="321">
        <f>'B7 Performance corr fusions'!T165/'B7 Performance corr fusions'!E165</f>
        <v>2046.6615077476577</v>
      </c>
      <c r="Q165" s="149">
        <f t="shared" si="26"/>
        <v>60.439687148408439</v>
      </c>
      <c r="R165" s="336">
        <f t="shared" si="27"/>
        <v>3.0429474956716364E-2</v>
      </c>
      <c r="S165" s="162"/>
      <c r="T165" s="162"/>
    </row>
    <row r="166" spans="1:20" ht="13.8" x14ac:dyDescent="0.25">
      <c r="A166" s="96">
        <v>2333</v>
      </c>
      <c r="B166" s="97" t="s">
        <v>302</v>
      </c>
      <c r="C166" s="104">
        <f>'B7 Performance corr fusions'!J166/'B7 Performance corr fusions'!C166</f>
        <v>1670.1442251155154</v>
      </c>
      <c r="D166" s="104">
        <f>'B7 Performance corr fusions'!R166/'B7 Performance corr fusions'!C166</f>
        <v>1704.0608335900388</v>
      </c>
      <c r="E166" s="143">
        <f t="shared" si="22"/>
        <v>33.9166084745234</v>
      </c>
      <c r="F166" s="147">
        <f t="shared" si="20"/>
        <v>2.0307592580621328E-2</v>
      </c>
      <c r="G166" s="175">
        <f>'[2]T1  PF2011'!P166</f>
        <v>81.60639553209559</v>
      </c>
      <c r="H166" s="157">
        <f t="shared" si="21"/>
        <v>1.153781750953307</v>
      </c>
      <c r="I166" s="159">
        <f>'B7 Performance corr fusions'!L166/'B7 Performance corr fusions'!D166</f>
        <v>1874.6170522031898</v>
      </c>
      <c r="J166" s="98">
        <f>'B7 Performance corr fusions'!S166/'B7 Performance corr fusions'!D166</f>
        <v>1922.4018182655766</v>
      </c>
      <c r="K166" s="149">
        <f t="shared" si="23"/>
        <v>47.78476606238678</v>
      </c>
      <c r="L166" s="152">
        <f t="shared" si="24"/>
        <v>2.5490414698952277E-2</v>
      </c>
      <c r="M166" s="347">
        <f>'[3]T2 PF2012'!$P166</f>
        <v>81.049248451180105</v>
      </c>
      <c r="N166" s="350">
        <f t="shared" si="25"/>
        <v>1.628017908446469</v>
      </c>
      <c r="O166" s="333">
        <f>'B7 Performance corr fusions'!N166/'B7 Performance corr fusions'!E166</f>
        <v>1923.9516611140591</v>
      </c>
      <c r="P166" s="321">
        <f>'B7 Performance corr fusions'!T166/'B7 Performance corr fusions'!E166</f>
        <v>1974.7811409025917</v>
      </c>
      <c r="Q166" s="149">
        <f t="shared" si="26"/>
        <v>50.829479788532581</v>
      </c>
      <c r="R166" s="336">
        <f t="shared" si="27"/>
        <v>2.6419312301796557E-2</v>
      </c>
      <c r="S166" s="162"/>
      <c r="T166" s="162"/>
    </row>
    <row r="167" spans="1:20" ht="13.8" x14ac:dyDescent="0.25">
      <c r="A167" s="96">
        <v>2335</v>
      </c>
      <c r="B167" s="97" t="s">
        <v>304</v>
      </c>
      <c r="C167" s="104">
        <f>'B7 Performance corr fusions'!J167/'B7 Performance corr fusions'!C167</f>
        <v>1914.1615931229269</v>
      </c>
      <c r="D167" s="104">
        <f>'B7 Performance corr fusions'!R167/'B7 Performance corr fusions'!C167</f>
        <v>1971.8157088995204</v>
      </c>
      <c r="E167" s="143">
        <f t="shared" si="22"/>
        <v>57.654115776593471</v>
      </c>
      <c r="F167" s="147">
        <f t="shared" si="20"/>
        <v>3.0119774622858052E-2</v>
      </c>
      <c r="G167" s="175">
        <f>'[2]T1  PF2011'!P167</f>
        <v>69.641711056061226</v>
      </c>
      <c r="H167" s="157">
        <f t="shared" si="21"/>
        <v>2.298245013070995</v>
      </c>
      <c r="I167" s="159">
        <f>'B7 Performance corr fusions'!L167/'B7 Performance corr fusions'!D167</f>
        <v>1748.2899172029565</v>
      </c>
      <c r="J167" s="98">
        <f>'B7 Performance corr fusions'!S167/'B7 Performance corr fusions'!D167</f>
        <v>1785.5421851955509</v>
      </c>
      <c r="K167" s="149">
        <f t="shared" si="23"/>
        <v>37.252267992594398</v>
      </c>
      <c r="L167" s="152">
        <f t="shared" si="24"/>
        <v>2.1307832085534949E-2</v>
      </c>
      <c r="M167" s="347">
        <f>'[3]T2 PF2012'!$P167</f>
        <v>71.546864474186165</v>
      </c>
      <c r="N167" s="350">
        <f t="shared" si="25"/>
        <v>1.4377415332396</v>
      </c>
      <c r="O167" s="333">
        <f>'B7 Performance corr fusions'!N167/'B7 Performance corr fusions'!E167</f>
        <v>1782.104163146362</v>
      </c>
      <c r="P167" s="321">
        <f>'B7 Performance corr fusions'!T167/'B7 Performance corr fusions'!E167</f>
        <v>1819.9190361822355</v>
      </c>
      <c r="Q167" s="149">
        <f t="shared" si="26"/>
        <v>37.814873035873461</v>
      </c>
      <c r="R167" s="336">
        <f t="shared" si="27"/>
        <v>2.1219227146133866E-2</v>
      </c>
      <c r="S167" s="162"/>
      <c r="T167" s="162"/>
    </row>
    <row r="168" spans="1:20" ht="13.8" x14ac:dyDescent="0.25">
      <c r="A168" s="96">
        <v>2336</v>
      </c>
      <c r="B168" s="97" t="s">
        <v>306</v>
      </c>
      <c r="C168" s="104">
        <f>'B7 Performance corr fusions'!J168/'B7 Performance corr fusions'!C168</f>
        <v>1511.3610926937913</v>
      </c>
      <c r="D168" s="104">
        <f>'B7 Performance corr fusions'!R168/'B7 Performance corr fusions'!C168</f>
        <v>1532.1757061158173</v>
      </c>
      <c r="E168" s="143">
        <f t="shared" si="22"/>
        <v>20.814613422026014</v>
      </c>
      <c r="F168" s="147">
        <f t="shared" si="20"/>
        <v>1.3772098225002508E-2</v>
      </c>
      <c r="G168" s="175">
        <f>'[2]T1  PF2011'!P168</f>
        <v>76.620226745312735</v>
      </c>
      <c r="H168" s="157">
        <f t="shared" ref="H168:H170" si="28">E168/($G$4*G168/100)*100</f>
        <v>0.7541545576325106</v>
      </c>
      <c r="I168" s="159">
        <f>'B7 Performance corr fusions'!L168/'B7 Performance corr fusions'!D168</f>
        <v>1725.7062953034731</v>
      </c>
      <c r="J168" s="98">
        <f>'B7 Performance corr fusions'!S168/'B7 Performance corr fusions'!D168</f>
        <v>1758.8407178497444</v>
      </c>
      <c r="K168" s="149">
        <f t="shared" si="23"/>
        <v>33.134422546271253</v>
      </c>
      <c r="L168" s="152">
        <f t="shared" si="24"/>
        <v>1.9200499318132475E-2</v>
      </c>
      <c r="M168" s="347">
        <f>'[3]T2 PF2012'!$P168</f>
        <v>78.254801562613835</v>
      </c>
      <c r="N168" s="350">
        <f t="shared" si="25"/>
        <v>1.1691954526011883</v>
      </c>
      <c r="O168" s="333">
        <f>'B7 Performance corr fusions'!N168/'B7 Performance corr fusions'!E168</f>
        <v>1734.107965720814</v>
      </c>
      <c r="P168" s="321">
        <f>'B7 Performance corr fusions'!T168/'B7 Performance corr fusions'!E168</f>
        <v>1768.5609596846405</v>
      </c>
      <c r="Q168" s="149">
        <f t="shared" si="26"/>
        <v>34.45299396382643</v>
      </c>
      <c r="R168" s="336">
        <f t="shared" si="27"/>
        <v>1.9867848279853443E-2</v>
      </c>
      <c r="S168" s="162"/>
      <c r="T168" s="162"/>
    </row>
    <row r="169" spans="1:20" ht="13.8" x14ac:dyDescent="0.25">
      <c r="A169" s="99">
        <v>2337</v>
      </c>
      <c r="B169" s="100" t="s">
        <v>300</v>
      </c>
      <c r="C169" s="104">
        <f>'B7 Performance corr fusions'!J169/'B7 Performance corr fusions'!C169</f>
        <v>1646.601704399307</v>
      </c>
      <c r="D169" s="104">
        <f>'B7 Performance corr fusions'!R169/'B7 Performance corr fusions'!C169</f>
        <v>1680.2320639209847</v>
      </c>
      <c r="E169" s="143">
        <f t="shared" si="22"/>
        <v>33.630359521677747</v>
      </c>
      <c r="F169" s="147">
        <f t="shared" si="20"/>
        <v>2.0424101002583597E-2</v>
      </c>
      <c r="G169" s="175">
        <f>'[2]T1  PF2011'!P169</f>
        <v>59.176235491463693</v>
      </c>
      <c r="H169" s="157">
        <f t="shared" si="28"/>
        <v>1.5776825412322333</v>
      </c>
      <c r="I169" s="159">
        <f>'B7 Performance corr fusions'!L169/'B7 Performance corr fusions'!D169</f>
        <v>1905.6695323149793</v>
      </c>
      <c r="J169" s="98">
        <f>'B7 Performance corr fusions'!S169/'B7 Performance corr fusions'!D169</f>
        <v>1957.538098208307</v>
      </c>
      <c r="K169" s="149">
        <f t="shared" si="23"/>
        <v>51.868565893327741</v>
      </c>
      <c r="L169" s="152">
        <f t="shared" si="24"/>
        <v>2.7218027582315688E-2</v>
      </c>
      <c r="M169" s="347">
        <f>'[3]T2 PF2012'!$P169</f>
        <v>58.659562026093525</v>
      </c>
      <c r="N169" s="350">
        <f t="shared" si="25"/>
        <v>2.4416540497317776</v>
      </c>
      <c r="O169" s="333">
        <f>'B7 Performance corr fusions'!N169/'B7 Performance corr fusions'!E169</f>
        <v>1938.7608967509379</v>
      </c>
      <c r="P169" s="321">
        <f>'B7 Performance corr fusions'!T169/'B7 Performance corr fusions'!E169</f>
        <v>1988.964035312913</v>
      </c>
      <c r="Q169" s="149">
        <f t="shared" si="26"/>
        <v>50.203138561975038</v>
      </c>
      <c r="R169" s="336">
        <f t="shared" si="27"/>
        <v>2.5894445594661877E-2</v>
      </c>
      <c r="S169" s="162"/>
      <c r="T169" s="162"/>
    </row>
    <row r="170" spans="1:20" ht="13.8" x14ac:dyDescent="0.25">
      <c r="A170" s="101">
        <v>2338</v>
      </c>
      <c r="B170" s="101" t="s">
        <v>297</v>
      </c>
      <c r="C170" s="105">
        <f>'B7 Performance corr fusions'!J170/'B7 Performance corr fusions'!C170</f>
        <v>1645.5706450978676</v>
      </c>
      <c r="D170" s="105">
        <f>'B7 Performance corr fusions'!R170/'B7 Performance corr fusions'!C170</f>
        <v>1677.7963477908177</v>
      </c>
      <c r="E170" s="144">
        <f t="shared" si="22"/>
        <v>32.225702692950108</v>
      </c>
      <c r="F170" s="177">
        <f t="shared" si="20"/>
        <v>1.9583299440197256E-2</v>
      </c>
      <c r="G170" s="176">
        <f>'[2]T1  PF2011'!P170</f>
        <v>63.143767677387665</v>
      </c>
      <c r="H170" s="178">
        <f t="shared" si="28"/>
        <v>1.4167960834469873</v>
      </c>
      <c r="I170" s="179">
        <f>'B7 Performance corr fusions'!L170/'B7 Performance corr fusions'!D170</f>
        <v>1842.5059648148626</v>
      </c>
      <c r="J170" s="102">
        <f>'B7 Performance corr fusions'!S170/'B7 Performance corr fusions'!D170</f>
        <v>1888.4927042214983</v>
      </c>
      <c r="K170" s="150">
        <f t="shared" si="23"/>
        <v>45.986739406635706</v>
      </c>
      <c r="L170" s="180">
        <f t="shared" si="24"/>
        <v>2.4958800831484152E-2</v>
      </c>
      <c r="M170" s="348">
        <f>'[3]T2 PF2012'!$P170</f>
        <v>64.217139982785383</v>
      </c>
      <c r="N170" s="351">
        <f t="shared" si="25"/>
        <v>1.9774265643534845</v>
      </c>
      <c r="O170" s="335">
        <f>'B7 Performance corr fusions'!N170/'B7 Performance corr fusions'!E170</f>
        <v>1888.445180490698</v>
      </c>
      <c r="P170" s="322">
        <f>'B7 Performance corr fusions'!T170/'B7 Performance corr fusions'!E170</f>
        <v>1936.8933455277229</v>
      </c>
      <c r="Q170" s="150">
        <f t="shared" si="26"/>
        <v>48.448165037024864</v>
      </c>
      <c r="R170" s="337">
        <f t="shared" si="27"/>
        <v>2.5655055035505969E-2</v>
      </c>
      <c r="S170" s="163"/>
      <c r="T170" s="163"/>
    </row>
    <row r="171" spans="1:20" x14ac:dyDescent="0.25">
      <c r="G171" s="153">
        <f>'[3]T1  PF2011'!$O$6</f>
        <v>3602.1729159793163</v>
      </c>
    </row>
  </sheetData>
  <mergeCells count="3">
    <mergeCell ref="C6:H6"/>
    <mergeCell ref="I6:N6"/>
    <mergeCell ref="O6:T6"/>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3</vt:i4>
      </vt:variant>
    </vt:vector>
  </HeadingPairs>
  <TitlesOfParts>
    <vt:vector size="15" baseType="lpstr">
      <vt:lpstr>Table des matières</vt:lpstr>
      <vt:lpstr>B1 tâches de référence</vt:lpstr>
      <vt:lpstr>B2 données 2011</vt:lpstr>
      <vt:lpstr>B3 données 2012</vt:lpstr>
      <vt:lpstr>B4 données 2013</vt:lpstr>
      <vt:lpstr>B5 POND version  GC</vt:lpstr>
      <vt:lpstr>B6 POND (2) Copil 2007</vt:lpstr>
      <vt:lpstr>B7 Performance corr fusions</vt:lpstr>
      <vt:lpstr>B8 Incidences </vt:lpstr>
      <vt:lpstr>B9 graphique (par hab.)</vt:lpstr>
      <vt:lpstr>B10 graphiques  (% dép. init.)</vt:lpstr>
      <vt:lpstr>B11 graphiques  (PF)</vt:lpstr>
      <vt:lpstr>'B2 données 2011'!Impression_des_titres</vt:lpstr>
      <vt:lpstr>'B3 données 2012'!Impression_des_titres</vt:lpstr>
      <vt:lpstr>'B4 données 2013'!Impression_des_titres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DCP</dc:creator>
  <cp:lastModifiedBy>DAFFLON Bernard</cp:lastModifiedBy>
  <cp:lastPrinted>2014-04-03T06:41:58Z</cp:lastPrinted>
  <dcterms:created xsi:type="dcterms:W3CDTF">2000-03-30T13:38:13Z</dcterms:created>
  <dcterms:modified xsi:type="dcterms:W3CDTF">2015-07-25T13:37:13Z</dcterms:modified>
</cp:coreProperties>
</file>