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https://eduetatfr.sharepoint.com/sites/FRITIC-Projets/Documents partages/Projet SEN/070- Technique/010- Prérequis écoles/010- Prérequis et recommandations/010- Calculateur coûts communes et besoins numériques/v4 du 25.06.2025/"/>
    </mc:Choice>
  </mc:AlternateContent>
  <xr:revisionPtr revIDLastSave="3815" documentId="8_{4B35E66C-9271-B240-9C67-754691E20378}" xr6:coauthVersionLast="47" xr6:coauthVersionMax="47" xr10:uidLastSave="{3C1DB047-D0C9-4141-BFCE-B89A89F67C95}"/>
  <workbookProtection workbookAlgorithmName="SHA-512" workbookHashValue="S24eN0h4EjInhEX2DC90UBU2upYmSSN3MjhRL4JRfX1SR5DP4sCksI6Ioda+JZ1U95XemYj45JuPh5Fu7w4unw==" workbookSaltValue="Tt4AX7Iu2Kg05ILDLpHqeg==" workbookSpinCount="100000" lockStructure="1"/>
  <bookViews>
    <workbookView showHorizontalScroll="0" xWindow="34400" yWindow="500" windowWidth="34400" windowHeight="26600" xr2:uid="{4BCECAC9-512D-4887-91DB-C4AAA4D8E1B0}"/>
  </bookViews>
  <sheets>
    <sheet name="Beschreibung" sheetId="5" r:id="rId1"/>
    <sheet name="Gebrauchsanweisung" sheetId="13" r:id="rId2"/>
    <sheet name="1. Logistische Daten" sheetId="7" r:id="rId3"/>
    <sheet name="2. Kostenschätzugen techn Infra" sheetId="6" r:id="rId4"/>
    <sheet name="Prix unitaires" sheetId="2" state="hidden" r:id="rId5"/>
    <sheet name="Paramètres" sheetId="8" state="hidden" r:id="rId6"/>
    <sheet name="TODO" sheetId="9" state="hidden" r:id="rId7"/>
  </sheets>
  <definedNames>
    <definedName name="BW_AUT_IN_MIN">Paramètres!$B$47</definedName>
    <definedName name="BW_AUT_IN_REC">Paramètres!$C$47</definedName>
    <definedName name="BW_AUT_OUT_MIN">Paramètres!$D$47</definedName>
    <definedName name="BW_AUT_OUT_REC">Paramètres!$E$47</definedName>
    <definedName name="BW_AUTRES">Paramètres!$B$47:$E$47</definedName>
    <definedName name="BW_ELE_1_8H">Paramètres!$B$43:$E$43</definedName>
    <definedName name="BW_ELE_9_11H">Paramètres!$B$44:$E$44</definedName>
    <definedName name="BW_ELE_IN_MIN">Paramètres!$B$43</definedName>
    <definedName name="BW_ELE_IN_REC">Paramètres!$C$43</definedName>
    <definedName name="BW_ELE_OUT_MIN">Paramètres!$D$43</definedName>
    <definedName name="BW_ELE_OUT_REC">Paramètres!$E$43</definedName>
    <definedName name="BW_ENS_IN_MIN">Paramètres!$B$46</definedName>
    <definedName name="BW_ENS_IN_REC">Paramètres!$C$46</definedName>
    <definedName name="BW_ENS_OUT_MIN">Paramètres!$D$46</definedName>
    <definedName name="BW_ENS_OUT_REC">Paramètres!$E$46</definedName>
    <definedName name="BW_ENSEIGN">Paramètres!$B$46:$E$46</definedName>
    <definedName name="BW_SALLE_INFO">Paramètres!$B$45:$E$45</definedName>
    <definedName name="Coût_tirage_câble_Eth">'1. Logistische Daten'!$AF$19</definedName>
    <definedName name="Couts_Annuels">'2. Kostenschätzugen techn Infra'!$D$36</definedName>
    <definedName name="Couts_Annuels_Bruts">'2. Kostenschätzugen techn Infra'!$H$32</definedName>
    <definedName name="Couts_Uniques_Initiaux">'2. Kostenschätzugen techn Infra'!$D$34</definedName>
    <definedName name="Couts_Uniques_Initiaux_brut">'2. Kostenschätzugen techn Infra'!$I$32</definedName>
    <definedName name="Couts_Uniques_Renouv">'2. Kostenschätzugen techn Infra'!$D$35</definedName>
    <definedName name="Couts_Uniques_Renouv_Bruts">'2. Kostenschätzugen techn Infra'!$J$32</definedName>
    <definedName name="Decal_vertical">'1. Logistische Daten'!$AE$34</definedName>
    <definedName name="Dotation_Déterm_1_2H">'1. Logistische Daten'!$C$22</definedName>
    <definedName name="Dotation_Déterm_3_4H">'1. Logistische Daten'!$D$22</definedName>
    <definedName name="Dotation_Déterm_5_6H">'1. Logistische Daten'!$E$22</definedName>
    <definedName name="Dotation_Déterm_7_8H">'1. Logistische Daten'!$F$22</definedName>
    <definedName name="Dotation_Déterm_9_11H">'1. Logistische Daten'!$G$22</definedName>
    <definedName name="Dotation_Déterm_9_12H">'1. Logistische Daten'!$G$22</definedName>
    <definedName name="ElevePClasse_1_2H">'1. Logistische Daten'!$C$25</definedName>
    <definedName name="ElevePClasse_3_4H">'1. Logistische Daten'!$D$25</definedName>
    <definedName name="ElevePClasse_5_6H">'1. Logistische Daten'!$E$25</definedName>
    <definedName name="ElevePClasse_7_8H">'1. Logistische Daten'!$F$25</definedName>
    <definedName name="ElevePClasse_9_11H">'1. Logistische Daten'!$G$25</definedName>
    <definedName name="Intro_Internet">Paramètres!$A$51:$A$55</definedName>
    <definedName name="Lst_Syst_Rang">Paramètres!$A$27:$A$31</definedName>
    <definedName name="Max_ElevePClasse">Paramètres!$A$4:$E$4</definedName>
    <definedName name="Max_ElevePClasse_1_2H">Paramètres!$A$4</definedName>
    <definedName name="Max_ElevePClasse_3_4H">Paramètres!$B$4</definedName>
    <definedName name="Max_ElevePClasse_5_6H">Paramètres!$C$4</definedName>
    <definedName name="Max_ElevePClasse_7_8H">Paramètres!$D$4</definedName>
    <definedName name="Max_ElevePClasse_9_11H">Paramètres!$E$4</definedName>
    <definedName name="Moy_ElevePClasse">Paramètres!$A$3:$E$3</definedName>
    <definedName name="Moy_ElevePClasse_1_2H">Paramètres!$A$3</definedName>
    <definedName name="Moy_ElevePClasse_3_4H">Paramètres!$B$3</definedName>
    <definedName name="Moy_ElevePClasse_5_6H">Paramètres!$C$3</definedName>
    <definedName name="Moy_ElevePClasse_7_8H">Paramètres!$D$3</definedName>
    <definedName name="Moy_ElevePClasse_9_11H">Paramètres!$E$3</definedName>
    <definedName name="Nb_Bat">'2. Kostenschätzugen techn Infra'!$F$6</definedName>
    <definedName name="Nb_Cla_Std">'2. Kostenschätzugen techn Infra'!$F$8</definedName>
    <definedName name="Nb_Ele_9_11H">'1. Logistische Daten'!$G$9</definedName>
    <definedName name="Nb_Tot_Bat">'1. Logistische Daten'!$AJ$124</definedName>
    <definedName name="Nb_Tot_Eleves">'1. Logistische Daten'!$H$9</definedName>
    <definedName name="Nb_Tot_Etages">'1. Logistische Daten'!$AH$124</definedName>
    <definedName name="Nb_Tot_Internet">'1. Logistische Daten'!$AI$124</definedName>
    <definedName name="Nb_Tot_SallesDeClasse">'1. Logistische Daten'!$AG$124</definedName>
    <definedName name="NbCables_Equiv_Switch">'1. Logistische Daten'!$AD$28</definedName>
    <definedName name="Nom_Etablissement">'1. Logistische Daten'!$C$4</definedName>
    <definedName name="pas_vertical">'1. Logistische Daten'!$X$10</definedName>
    <definedName name="Syst_Rang">Paramètres!$A$27:$B$31</definedName>
    <definedName name="Tot_Antennes_Wifi">'1. Logistische Daten'!$AB$120</definedName>
    <definedName name="Tot_Armoire_réseau">'1. Logistische Daten'!$AA$120</definedName>
    <definedName name="Tot_Connexions">'1. Logistische Daten'!$Y$120</definedName>
    <definedName name="Tot_Cout_Syst_Rang_init">'1. Logistische Daten'!$W$120</definedName>
    <definedName name="Tot_Cout_Syst_Rang_renouv">'1. Logistische Daten'!$V$120</definedName>
    <definedName name="Tot_Equip_Elèves">'1. Logistische Daten'!$H$23</definedName>
    <definedName name="Tot_Nb_Postes_Autres">'1. Logistische Daten'!#REF!</definedName>
    <definedName name="Tot_Nb_Postes_SInfo">'1. Logistische Daten'!#REF!</definedName>
    <definedName name="Tot_Switches">'1. Logistische Daten'!$Z$120</definedName>
    <definedName name="Tot_Syst_Rang">'1. Logistische Daten'!$U$121</definedName>
    <definedName name="Tot_Syst_Rang_conserver">'1. Logistische Daten'!$W$121</definedName>
    <definedName name="Tot_Syst_Rang_nouveaux">'1. Logistische Daten'!$V$121</definedName>
    <definedName name="TotalEtages">'2. Kostenschätzugen techn Infra'!$F$7</definedName>
    <definedName name="TotalSalles">'2. Kostenschätzugen techn Infra'!$C$9</definedName>
    <definedName name="Z_2F7F83DD_5603_CE40_9872_ABF624ECE237_.wvu.PrintArea" localSheetId="3" hidden="1">'2. Kostenschätzugen techn Infra'!$A$1:$J$58</definedName>
    <definedName name="Z_2F7F83DD_5603_CE40_9872_ABF624ECE237_.wvu.PrintArea" localSheetId="0" hidden="1">Beschreibung!$A$1:$E$10</definedName>
    <definedName name="Z_2F7F83DD_5603_CE40_9872_ABF624ECE237_.wvu.PrintArea" localSheetId="1" hidden="1">Gebrauchsanweisung!$A$1:$D$10</definedName>
    <definedName name="Z_D932F249_B54E_D54C_B8F4_0256603E93D7_.wvu.PrintArea" localSheetId="3" hidden="1">'2. Kostenschätzugen techn Infra'!$A$1:$J$58</definedName>
    <definedName name="Z_D932F249_B54E_D54C_B8F4_0256603E93D7_.wvu.PrintArea" localSheetId="0" hidden="1">Beschreibung!$A$1:$E$10</definedName>
    <definedName name="Z_D932F249_B54E_D54C_B8F4_0256603E93D7_.wvu.PrintArea" localSheetId="1" hidden="1">Gebrauchsanweisung!$A$1:$E$11</definedName>
    <definedName name="_xlnm.Print_Area" localSheetId="2">'1. Logistische Daten'!$A$1:$R$118</definedName>
    <definedName name="_xlnm.Print_Area" localSheetId="3">'2. Kostenschätzugen techn Infra'!$A$1:$K$48</definedName>
    <definedName name="_xlnm.Print_Area" localSheetId="0">Beschreibung!$A$1:$E$10</definedName>
    <definedName name="_xlnm.Print_Area" localSheetId="1">Gebrauchsanweisung!$A$1:$E$11</definedName>
  </definedNames>
  <calcPr calcId="191028"/>
  <customWorkbookViews>
    <customWorkbookView name="Edition" guid="{2F7F83DD-5603-CE40-9872-ABF624ECE237}" showHorizontalScroll="0" xWindow="511" yWindow="49" windowWidth="1555" windowHeight="1240" activeSheetId="13"/>
    <customWorkbookView name="Public" guid="{D932F249-B54E-D54C-B8F4-0256603E93D7}" showHorizontalScroll="0" xWindow="511" yWindow="49" windowWidth="1555" windowHeight="1240" activeSheetId="13"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7" l="1"/>
  <c r="F22" i="7"/>
  <c r="E22" i="7"/>
  <c r="D22" i="7"/>
  <c r="C22" i="7"/>
  <c r="N23" i="7" a="1"/>
  <c r="N23" i="7" s="1"/>
  <c r="N22" i="7" a="1"/>
  <c r="N22" i="7" s="1"/>
  <c r="N21" i="7" a="1"/>
  <c r="N21" i="7" s="1"/>
  <c r="N20" i="7" a="1"/>
  <c r="N20" i="7" s="1"/>
  <c r="N19" i="7" a="1"/>
  <c r="N19" i="7" s="1"/>
  <c r="P21" i="7" l="1"/>
  <c r="O21" i="7"/>
  <c r="Q21" i="7" s="1"/>
  <c r="P22" i="7"/>
  <c r="O22" i="7"/>
  <c r="O23" i="7"/>
  <c r="P23" i="7"/>
  <c r="P19" i="7"/>
  <c r="O19" i="7"/>
  <c r="Q19" i="7" s="1"/>
  <c r="P20" i="7"/>
  <c r="O20" i="7"/>
  <c r="Q20" i="7" l="1"/>
  <c r="Q22" i="7"/>
  <c r="Q23" i="7"/>
  <c r="L112" i="7" l="1"/>
  <c r="K112" i="7"/>
  <c r="L111" i="7"/>
  <c r="K111" i="7"/>
  <c r="L110" i="7"/>
  <c r="K110" i="7"/>
  <c r="L109" i="7"/>
  <c r="K109" i="7"/>
  <c r="K113" i="7" s="1"/>
  <c r="L108" i="7"/>
  <c r="L113" i="7" s="1"/>
  <c r="K108" i="7"/>
  <c r="L95" i="7"/>
  <c r="K95" i="7"/>
  <c r="L94" i="7"/>
  <c r="K94" i="7"/>
  <c r="L93" i="7"/>
  <c r="K93" i="7"/>
  <c r="L92" i="7"/>
  <c r="K92" i="7"/>
  <c r="L91" i="7"/>
  <c r="L96" i="7" s="1"/>
  <c r="K91" i="7"/>
  <c r="L78" i="7"/>
  <c r="K78" i="7"/>
  <c r="L77" i="7"/>
  <c r="K77" i="7"/>
  <c r="L76" i="7"/>
  <c r="K76" i="7"/>
  <c r="L75" i="7"/>
  <c r="K75" i="7"/>
  <c r="L74" i="7"/>
  <c r="L79" i="7" s="1"/>
  <c r="K74" i="7"/>
  <c r="K79" i="7" s="1"/>
  <c r="L61" i="7"/>
  <c r="K61" i="7"/>
  <c r="L60" i="7"/>
  <c r="K60" i="7"/>
  <c r="L59" i="7"/>
  <c r="K59" i="7"/>
  <c r="L58" i="7"/>
  <c r="K58" i="7"/>
  <c r="L57" i="7"/>
  <c r="L62" i="7" s="1"/>
  <c r="K57" i="7"/>
  <c r="K62" i="7" s="1"/>
  <c r="U109" i="7"/>
  <c r="U110" i="7"/>
  <c r="U111" i="7"/>
  <c r="U112" i="7"/>
  <c r="U108" i="7"/>
  <c r="U92" i="7"/>
  <c r="U93" i="7"/>
  <c r="U94" i="7"/>
  <c r="U95" i="7"/>
  <c r="U91" i="7"/>
  <c r="U75" i="7"/>
  <c r="U76" i="7"/>
  <c r="U77" i="7"/>
  <c r="U78" i="7"/>
  <c r="U74" i="7"/>
  <c r="U58" i="7"/>
  <c r="U59" i="7"/>
  <c r="U60" i="7"/>
  <c r="U61" i="7"/>
  <c r="U57" i="7"/>
  <c r="U41" i="7"/>
  <c r="U42" i="7"/>
  <c r="U43" i="7"/>
  <c r="U44" i="7"/>
  <c r="U40" i="7"/>
  <c r="G29" i="6"/>
  <c r="P113" i="7"/>
  <c r="O113" i="7"/>
  <c r="P96" i="7"/>
  <c r="O96" i="7"/>
  <c r="P79" i="7"/>
  <c r="O79" i="7"/>
  <c r="P62" i="7"/>
  <c r="O62" i="7"/>
  <c r="P45" i="7"/>
  <c r="O45" i="7"/>
  <c r="Q112" i="7"/>
  <c r="Q111" i="7"/>
  <c r="Q110" i="7"/>
  <c r="Q109" i="7"/>
  <c r="Q108" i="7"/>
  <c r="Q95" i="7"/>
  <c r="Q94" i="7"/>
  <c r="Q93" i="7"/>
  <c r="Q92" i="7"/>
  <c r="Q91" i="7"/>
  <c r="Q78" i="7"/>
  <c r="Q77" i="7"/>
  <c r="Q76" i="7"/>
  <c r="Q75" i="7"/>
  <c r="Q74" i="7"/>
  <c r="Q61" i="7"/>
  <c r="Q60" i="7"/>
  <c r="Q59" i="7"/>
  <c r="Q58" i="7"/>
  <c r="Q57" i="7"/>
  <c r="D18" i="7"/>
  <c r="C31" i="7"/>
  <c r="G30" i="6"/>
  <c r="K96" i="7" l="1"/>
  <c r="Q113" i="7"/>
  <c r="Q96" i="7"/>
  <c r="Q79" i="7"/>
  <c r="V40" i="7"/>
  <c r="Q62" i="7"/>
  <c r="D24" i="7"/>
  <c r="C24" i="7"/>
  <c r="G24" i="6" l="1"/>
  <c r="G25" i="6"/>
  <c r="G26" i="6"/>
  <c r="G27" i="6"/>
  <c r="G28" i="6"/>
  <c r="G22" i="6"/>
  <c r="C14" i="2"/>
  <c r="G20" i="6" s="1"/>
  <c r="C7" i="2"/>
  <c r="G16" i="6" s="1"/>
  <c r="C15" i="2"/>
  <c r="G21" i="6" s="1"/>
  <c r="F21" i="6"/>
  <c r="G18" i="6"/>
  <c r="C10" i="2"/>
  <c r="C8" i="2"/>
  <c r="C9" i="2"/>
  <c r="G17" i="6" s="1"/>
  <c r="F19" i="6"/>
  <c r="F16" i="6"/>
  <c r="G15" i="6"/>
  <c r="F14" i="6"/>
  <c r="G14" i="6"/>
  <c r="B6" i="2"/>
  <c r="F15" i="6" s="1"/>
  <c r="X10" i="7"/>
  <c r="Y112" i="7"/>
  <c r="Y95" i="7"/>
  <c r="Y78" i="7"/>
  <c r="Y61" i="7"/>
  <c r="AG20" i="7"/>
  <c r="AG21" i="7" s="1"/>
  <c r="AE20" i="7"/>
  <c r="AE21" i="7" s="1"/>
  <c r="AF20" i="7"/>
  <c r="AF21" i="7" s="1"/>
  <c r="Z78" i="7" l="1"/>
  <c r="AA78" i="7" s="1"/>
  <c r="Y77" i="7" s="1"/>
  <c r="Z77" i="7" s="1"/>
  <c r="AA77" i="7" s="1"/>
  <c r="Y76" i="7" s="1"/>
  <c r="Z76" i="7" s="1"/>
  <c r="AA76" i="7" s="1"/>
  <c r="Y75" i="7" s="1"/>
  <c r="Z75" i="7" s="1"/>
  <c r="AA75" i="7" s="1"/>
  <c r="Y74" i="7" s="1"/>
  <c r="Z74" i="7" s="1"/>
  <c r="Z95" i="7"/>
  <c r="AA95" i="7" s="1"/>
  <c r="Y94" i="7" s="1"/>
  <c r="Z94" i="7" s="1"/>
  <c r="AA94" i="7" s="1"/>
  <c r="Y93" i="7" s="1"/>
  <c r="Z93" i="7" s="1"/>
  <c r="AA93" i="7" s="1"/>
  <c r="Y92" i="7" s="1"/>
  <c r="Z92" i="7" s="1"/>
  <c r="AA92" i="7" s="1"/>
  <c r="Y91" i="7" s="1"/>
  <c r="Z91" i="7" s="1"/>
  <c r="Z112" i="7"/>
  <c r="AA112" i="7" s="1"/>
  <c r="Y111" i="7" s="1"/>
  <c r="Z111" i="7" s="1"/>
  <c r="AA111" i="7" s="1"/>
  <c r="Y110" i="7" s="1"/>
  <c r="Z110" i="7" s="1"/>
  <c r="AA110" i="7" s="1"/>
  <c r="Y109" i="7" s="1"/>
  <c r="Z109" i="7" s="1"/>
  <c r="AA109" i="7" s="1"/>
  <c r="Y108" i="7" s="1"/>
  <c r="Z108" i="7" s="1"/>
  <c r="Z61" i="7"/>
  <c r="AA61" i="7" s="1"/>
  <c r="Y60" i="7" s="1"/>
  <c r="Z60" i="7" s="1"/>
  <c r="AA60" i="7" s="1"/>
  <c r="Y59" i="7" s="1"/>
  <c r="Z59" i="7" s="1"/>
  <c r="AA59" i="7" s="1"/>
  <c r="Y58" i="7" s="1"/>
  <c r="Z58" i="7" s="1"/>
  <c r="AA58" i="7" s="1"/>
  <c r="Y57" i="7" s="1"/>
  <c r="Z57" i="7" s="1"/>
  <c r="AA108" i="7" l="1"/>
  <c r="Y113" i="7" s="1"/>
  <c r="Z113" i="7" s="1"/>
  <c r="AA91" i="7"/>
  <c r="Y96" i="7" s="1"/>
  <c r="Z96" i="7" s="1"/>
  <c r="AA74" i="7"/>
  <c r="Y79" i="7" s="1"/>
  <c r="Z79" i="7" s="1"/>
  <c r="AA57" i="7"/>
  <c r="Y62" i="7" s="1"/>
  <c r="Z114" i="7" l="1"/>
  <c r="L115" i="7" s="1"/>
  <c r="Z115" i="7"/>
  <c r="L116" i="7" s="1"/>
  <c r="Z98" i="7"/>
  <c r="L99" i="7" s="1"/>
  <c r="Z97" i="7"/>
  <c r="L98" i="7" s="1"/>
  <c r="Z80" i="7"/>
  <c r="L81" i="7" s="1"/>
  <c r="Z81" i="7"/>
  <c r="L82" i="7" s="1"/>
  <c r="V112" i="7"/>
  <c r="V111" i="7"/>
  <c r="V109" i="7"/>
  <c r="V92" i="7"/>
  <c r="V75" i="7"/>
  <c r="V61" i="7"/>
  <c r="V59" i="7"/>
  <c r="F18" i="7"/>
  <c r="V42" i="7"/>
  <c r="AG123" i="7"/>
  <c r="AG122" i="7"/>
  <c r="AG121" i="7"/>
  <c r="AG119" i="7"/>
  <c r="AG120" i="7"/>
  <c r="AG40" i="7"/>
  <c r="AE112" i="7"/>
  <c r="AE111" i="7"/>
  <c r="AE110" i="7"/>
  <c r="AE109" i="7"/>
  <c r="AE108" i="7"/>
  <c r="AE95" i="7"/>
  <c r="AE94" i="7"/>
  <c r="AE93" i="7"/>
  <c r="AE92" i="7"/>
  <c r="AE91" i="7"/>
  <c r="AE78" i="7"/>
  <c r="AE77" i="7"/>
  <c r="AE76" i="7"/>
  <c r="AE75" i="7"/>
  <c r="AE74" i="7"/>
  <c r="AE61" i="7"/>
  <c r="AE60" i="7"/>
  <c r="AE59" i="7"/>
  <c r="AE58" i="7"/>
  <c r="AE57" i="7"/>
  <c r="AG58" i="7"/>
  <c r="AG59" i="7"/>
  <c r="AG60" i="7"/>
  <c r="AG61" i="7"/>
  <c r="AG57" i="7"/>
  <c r="AG41" i="7"/>
  <c r="AG42" i="7"/>
  <c r="AG43" i="7"/>
  <c r="AG44" i="7"/>
  <c r="AF61" i="7"/>
  <c r="AF60" i="7"/>
  <c r="AF59" i="7"/>
  <c r="AF58" i="7"/>
  <c r="AF57" i="7"/>
  <c r="AE41" i="7"/>
  <c r="AE42" i="7"/>
  <c r="AE43" i="7"/>
  <c r="AE44" i="7"/>
  <c r="AE40" i="7"/>
  <c r="K41" i="7"/>
  <c r="K42" i="7"/>
  <c r="K43" i="7"/>
  <c r="K44" i="7"/>
  <c r="K40" i="7"/>
  <c r="L41" i="7"/>
  <c r="L42" i="7"/>
  <c r="L43" i="7"/>
  <c r="L44" i="7"/>
  <c r="Y44" i="7" s="1"/>
  <c r="L40" i="7"/>
  <c r="Z44" i="7" l="1"/>
  <c r="W60" i="7"/>
  <c r="W94" i="7"/>
  <c r="V94" i="7"/>
  <c r="W74" i="7"/>
  <c r="W95" i="7"/>
  <c r="W76" i="7"/>
  <c r="W110" i="7"/>
  <c r="W78" i="7"/>
  <c r="W91" i="7"/>
  <c r="W59" i="7"/>
  <c r="W93" i="7"/>
  <c r="W61" i="7"/>
  <c r="V110" i="7"/>
  <c r="W108" i="7"/>
  <c r="W58" i="7"/>
  <c r="V76" i="7"/>
  <c r="W111" i="7"/>
  <c r="V93" i="7"/>
  <c r="W57" i="7"/>
  <c r="V78" i="7"/>
  <c r="W77" i="7"/>
  <c r="V108" i="7"/>
  <c r="W112" i="7"/>
  <c r="W109" i="7"/>
  <c r="V95" i="7"/>
  <c r="W92" i="7"/>
  <c r="V91" i="7"/>
  <c r="V77" i="7"/>
  <c r="W75" i="7"/>
  <c r="V74" i="7"/>
  <c r="V60" i="7"/>
  <c r="V57" i="7"/>
  <c r="V58" i="7"/>
  <c r="E23" i="7"/>
  <c r="G18" i="7"/>
  <c r="E18" i="7"/>
  <c r="C18" i="7"/>
  <c r="AG112" i="7"/>
  <c r="AF112" i="7"/>
  <c r="AG111" i="7"/>
  <c r="AF111" i="7"/>
  <c r="AG110" i="7"/>
  <c r="AF110" i="7"/>
  <c r="AG109" i="7"/>
  <c r="AF109" i="7"/>
  <c r="AG108" i="7"/>
  <c r="AF108" i="7"/>
  <c r="AG95" i="7"/>
  <c r="AF95" i="7"/>
  <c r="AG94" i="7"/>
  <c r="AF94" i="7"/>
  <c r="AG93" i="7"/>
  <c r="AF93" i="7"/>
  <c r="AG92" i="7"/>
  <c r="AF92" i="7"/>
  <c r="AG91" i="7"/>
  <c r="AF91" i="7"/>
  <c r="AG78" i="7"/>
  <c r="AF78" i="7"/>
  <c r="AG77" i="7"/>
  <c r="AF77" i="7"/>
  <c r="AG76" i="7"/>
  <c r="AF76" i="7"/>
  <c r="AG75" i="7"/>
  <c r="AF75" i="7"/>
  <c r="AG74" i="7"/>
  <c r="AF74" i="7"/>
  <c r="AF41" i="7"/>
  <c r="AF42" i="7"/>
  <c r="AF43" i="7"/>
  <c r="AF44" i="7"/>
  <c r="W62" i="7" l="1"/>
  <c r="W96" i="7"/>
  <c r="V79" i="7"/>
  <c r="W79" i="7"/>
  <c r="V96" i="7"/>
  <c r="W113" i="7"/>
  <c r="V113" i="7"/>
  <c r="V62" i="7"/>
  <c r="AC108" i="7"/>
  <c r="AC74" i="7"/>
  <c r="AC92" i="7"/>
  <c r="AC58" i="7"/>
  <c r="AC61" i="7"/>
  <c r="AC110" i="7"/>
  <c r="AC44" i="7"/>
  <c r="AC91" i="7"/>
  <c r="AC40" i="7"/>
  <c r="AC111" i="7"/>
  <c r="AC77" i="7"/>
  <c r="AC41" i="7"/>
  <c r="AC42" i="7"/>
  <c r="AC95" i="7"/>
  <c r="AC43" i="7"/>
  <c r="AC76" i="7"/>
  <c r="AC94" i="7"/>
  <c r="AC112" i="7"/>
  <c r="AC78" i="7"/>
  <c r="AC93" i="7"/>
  <c r="AC59" i="7"/>
  <c r="AC57" i="7"/>
  <c r="AC60" i="7"/>
  <c r="AC109" i="7"/>
  <c r="AC75" i="7"/>
  <c r="K3" i="8" l="1"/>
  <c r="J4" i="8" s="1"/>
  <c r="I4" i="8" l="1"/>
  <c r="K4" i="8"/>
  <c r="H4" i="8"/>
  <c r="K15" i="8"/>
  <c r="K16" i="8"/>
  <c r="K17" i="8"/>
  <c r="K18" i="8"/>
  <c r="K19" i="8"/>
  <c r="K20" i="8"/>
  <c r="K21" i="8"/>
  <c r="K22" i="8"/>
  <c r="K23" i="8"/>
  <c r="K24" i="8"/>
  <c r="K14" i="8"/>
  <c r="D31" i="7"/>
  <c r="E31" i="7"/>
  <c r="F31" i="7"/>
  <c r="G31" i="7"/>
  <c r="Q44" i="7"/>
  <c r="Q43" i="7"/>
  <c r="Q42" i="7"/>
  <c r="Q41" i="7"/>
  <c r="Q40" i="7"/>
  <c r="W40" i="7" s="1"/>
  <c r="V41" i="7"/>
  <c r="V43" i="7"/>
  <c r="V44" i="7"/>
  <c r="AC104" i="7"/>
  <c r="AC102" i="7"/>
  <c r="AC87" i="7"/>
  <c r="AC85" i="7"/>
  <c r="AC70" i="7"/>
  <c r="AC68" i="7"/>
  <c r="AC53" i="7"/>
  <c r="AC51" i="7"/>
  <c r="AF40" i="7"/>
  <c r="C45" i="8"/>
  <c r="D45" i="8"/>
  <c r="E45" i="8"/>
  <c r="B45" i="8"/>
  <c r="C44" i="8"/>
  <c r="D44" i="8"/>
  <c r="E44" i="8"/>
  <c r="B44" i="8"/>
  <c r="D24" i="8"/>
  <c r="C24" i="8"/>
  <c r="AC36" i="7"/>
  <c r="AC34" i="7"/>
  <c r="B46" i="8"/>
  <c r="E47" i="8"/>
  <c r="D47" i="8"/>
  <c r="C47" i="8"/>
  <c r="B47" i="8"/>
  <c r="E46" i="8"/>
  <c r="D46" i="8"/>
  <c r="C46" i="8"/>
  <c r="E43" i="8"/>
  <c r="D43" i="8"/>
  <c r="C43" i="8"/>
  <c r="B43" i="8"/>
  <c r="F24" i="8"/>
  <c r="E24" i="8"/>
  <c r="B24" i="8"/>
  <c r="AE70" i="7" a="1"/>
  <c r="AE87" i="7" a="1"/>
  <c r="AE53" i="7" a="1"/>
  <c r="AE104" i="7" a="1"/>
  <c r="AE36" i="7" a="1"/>
  <c r="V45" i="7" l="1"/>
  <c r="V120" i="7" s="1"/>
  <c r="K6" i="8"/>
  <c r="Q45" i="7"/>
  <c r="AA44" i="7"/>
  <c r="Y43" i="7" s="1"/>
  <c r="Z43" i="7" s="1"/>
  <c r="AA43" i="7" s="1"/>
  <c r="Y42" i="7" s="1"/>
  <c r="Z42" i="7" s="1"/>
  <c r="AA42" i="7" s="1"/>
  <c r="Y41" i="7" s="1"/>
  <c r="Z41" i="7" s="1"/>
  <c r="AA41" i="7" s="1"/>
  <c r="Y40" i="7" s="1"/>
  <c r="Z40" i="7" s="1"/>
  <c r="AA40" i="7" s="1"/>
  <c r="K5" i="8"/>
  <c r="E3" i="8" s="1"/>
  <c r="W44" i="7"/>
  <c r="W43" i="7"/>
  <c r="AH123" i="7"/>
  <c r="AH120" i="7"/>
  <c r="W42" i="7"/>
  <c r="U121" i="7"/>
  <c r="C31" i="6" s="1"/>
  <c r="W121" i="7"/>
  <c r="D31" i="6" s="1"/>
  <c r="W41" i="7"/>
  <c r="AE79" i="7"/>
  <c r="AP79" i="7" s="1"/>
  <c r="AF62" i="7"/>
  <c r="AW62" i="7" s="1"/>
  <c r="AF113" i="7"/>
  <c r="AV113" i="7" s="1"/>
  <c r="AJ84" i="7"/>
  <c r="AJ33" i="7"/>
  <c r="AG113" i="7"/>
  <c r="AZ113" i="7" s="1"/>
  <c r="AI50" i="7"/>
  <c r="AI51" i="7" s="1"/>
  <c r="AI52" i="7" s="1"/>
  <c r="AI53" i="7" s="1"/>
  <c r="AI54" i="7" s="1"/>
  <c r="AJ67" i="7"/>
  <c r="AI101" i="7"/>
  <c r="AI102" i="7" s="1"/>
  <c r="AI103" i="7" s="1"/>
  <c r="AI104" i="7" s="1"/>
  <c r="AI105" i="7" s="1"/>
  <c r="AD104" i="7"/>
  <c r="AG62" i="7"/>
  <c r="BA62" i="7" s="1"/>
  <c r="AG79" i="7"/>
  <c r="AZ79" i="7" s="1"/>
  <c r="AD53" i="7"/>
  <c r="AD70" i="7"/>
  <c r="AD87" i="7"/>
  <c r="AJ50" i="7"/>
  <c r="AJ51" i="7" s="1"/>
  <c r="AJ52" i="7" s="1"/>
  <c r="AJ53" i="7" s="1"/>
  <c r="AJ54" i="7" s="1"/>
  <c r="AD36" i="7"/>
  <c r="AK50" i="7"/>
  <c r="AK51" i="7" s="1"/>
  <c r="AK52" i="7" s="1"/>
  <c r="AK53" i="7" s="1"/>
  <c r="AK54" i="7" s="1"/>
  <c r="AG67" i="7"/>
  <c r="AG68" i="7" s="1"/>
  <c r="AG33" i="7"/>
  <c r="AH67" i="7"/>
  <c r="AH33" i="7"/>
  <c r="AI67" i="7"/>
  <c r="AF96" i="7"/>
  <c r="AT96" i="7" s="1"/>
  <c r="AI33" i="7"/>
  <c r="AG96" i="7"/>
  <c r="BA96" i="7" s="1"/>
  <c r="AG84" i="7"/>
  <c r="AG85" i="7" s="1"/>
  <c r="AF79" i="7"/>
  <c r="AW79" i="7" s="1"/>
  <c r="AG50" i="7"/>
  <c r="AH84" i="7"/>
  <c r="AH85" i="7" s="1"/>
  <c r="AH50" i="7"/>
  <c r="AI84" i="7"/>
  <c r="AI85" i="7" s="1"/>
  <c r="AI86" i="7" s="1"/>
  <c r="AI87" i="7" s="1"/>
  <c r="AI88" i="7" s="1"/>
  <c r="AE96" i="7"/>
  <c r="AR96" i="7" s="1"/>
  <c r="AE113" i="7"/>
  <c r="AP113" i="7" s="1"/>
  <c r="AK84" i="7"/>
  <c r="AK85" i="7" s="1"/>
  <c r="AK86" i="7" s="1"/>
  <c r="AK87" i="7" s="1"/>
  <c r="AK88" i="7" s="1"/>
  <c r="AG101" i="7"/>
  <c r="AG102" i="7" s="1"/>
  <c r="AH101" i="7"/>
  <c r="AH102" i="7" s="1"/>
  <c r="AJ101" i="7"/>
  <c r="AK33" i="7"/>
  <c r="AK67" i="7"/>
  <c r="AK68" i="7" s="1"/>
  <c r="AK69" i="7" s="1"/>
  <c r="AK70" i="7" s="1"/>
  <c r="AK71" i="7" s="1"/>
  <c r="AK101" i="7"/>
  <c r="AE36" i="7"/>
  <c r="AE104" i="7"/>
  <c r="G104" i="7" s="1"/>
  <c r="AE87" i="7"/>
  <c r="G87" i="7" s="1"/>
  <c r="AE70" i="7"/>
  <c r="G70" i="7" s="1"/>
  <c r="AE53" i="7"/>
  <c r="G53" i="7" s="1"/>
  <c r="AF45" i="7"/>
  <c r="G44" i="8"/>
  <c r="C25" i="7" a="1"/>
  <c r="AD111" i="7" l="1"/>
  <c r="AD109" i="7"/>
  <c r="AD112" i="7"/>
  <c r="AD43" i="7"/>
  <c r="AD92" i="7"/>
  <c r="AD108" i="7"/>
  <c r="AD57" i="7"/>
  <c r="AD110" i="7"/>
  <c r="AD60" i="7"/>
  <c r="AD77" i="7"/>
  <c r="AD44" i="7"/>
  <c r="AD93" i="7"/>
  <c r="AD95" i="7"/>
  <c r="AD42" i="7"/>
  <c r="AD58" i="7"/>
  <c r="AD40" i="7"/>
  <c r="AD78" i="7"/>
  <c r="AD59" i="7"/>
  <c r="AD74" i="7"/>
  <c r="AD91" i="7"/>
  <c r="AD75" i="7"/>
  <c r="AD94" i="7"/>
  <c r="AD76" i="7"/>
  <c r="AD61" i="7"/>
  <c r="AD41" i="7"/>
  <c r="AH103" i="7"/>
  <c r="AH104" i="7" s="1"/>
  <c r="AH105" i="7" s="1"/>
  <c r="AH86" i="7"/>
  <c r="AH87" i="7" s="1"/>
  <c r="AH88" i="7" s="1"/>
  <c r="T112" i="7"/>
  <c r="T109" i="7"/>
  <c r="T111" i="7"/>
  <c r="T108" i="7"/>
  <c r="T110" i="7"/>
  <c r="T95" i="7"/>
  <c r="T92" i="7"/>
  <c r="T94" i="7"/>
  <c r="T91" i="7"/>
  <c r="T93" i="7"/>
  <c r="T78" i="7"/>
  <c r="T77" i="7"/>
  <c r="T75" i="7"/>
  <c r="T74" i="7"/>
  <c r="T76" i="7"/>
  <c r="T61" i="7"/>
  <c r="T58" i="7"/>
  <c r="T60" i="7"/>
  <c r="T59" i="7"/>
  <c r="T57" i="7"/>
  <c r="T41" i="7"/>
  <c r="T42" i="7"/>
  <c r="T43" i="7"/>
  <c r="T44" i="7"/>
  <c r="T40" i="7"/>
  <c r="Z62" i="7"/>
  <c r="Z63" i="7" s="1"/>
  <c r="L64" i="7" s="1"/>
  <c r="Y45" i="7"/>
  <c r="AE62" i="7"/>
  <c r="AS62" i="7" s="1"/>
  <c r="AG69" i="7"/>
  <c r="AG70" i="7" s="1"/>
  <c r="AG71" i="7" s="1"/>
  <c r="AG86" i="7"/>
  <c r="AG87" i="7" s="1"/>
  <c r="AG88" i="7" s="1"/>
  <c r="AG103" i="7"/>
  <c r="AG104" i="7" s="1"/>
  <c r="AG105" i="7" s="1"/>
  <c r="C25" i="7"/>
  <c r="AR79" i="7"/>
  <c r="AS79" i="7"/>
  <c r="W45" i="7"/>
  <c r="W120" i="7" s="1"/>
  <c r="I31" i="6" s="1"/>
  <c r="AQ79" i="7"/>
  <c r="V121" i="7"/>
  <c r="E31" i="6" s="1"/>
  <c r="AW113" i="7"/>
  <c r="AT62" i="7"/>
  <c r="AV62" i="7"/>
  <c r="AU62" i="7"/>
  <c r="AT113" i="7"/>
  <c r="AU113" i="7"/>
  <c r="AX96" i="7"/>
  <c r="AW96" i="7"/>
  <c r="AZ96" i="7"/>
  <c r="BA113" i="7"/>
  <c r="AX113" i="7"/>
  <c r="AY113" i="7"/>
  <c r="H9" i="7"/>
  <c r="AV79" i="7"/>
  <c r="AU79" i="7"/>
  <c r="AY96" i="7"/>
  <c r="AT79" i="7"/>
  <c r="AQ113" i="7"/>
  <c r="AS113" i="7"/>
  <c r="AV96" i="7"/>
  <c r="AY79" i="7"/>
  <c r="AX79" i="7"/>
  <c r="AX62" i="7"/>
  <c r="BA79" i="7"/>
  <c r="AY62" i="7"/>
  <c r="AZ62" i="7"/>
  <c r="AU96" i="7"/>
  <c r="AR113" i="7"/>
  <c r="AS96" i="7"/>
  <c r="AP96" i="7"/>
  <c r="AQ96" i="7"/>
  <c r="AW45" i="7"/>
  <c r="AV45" i="7"/>
  <c r="AU45" i="7"/>
  <c r="AT45" i="7"/>
  <c r="T113" i="7" l="1"/>
  <c r="T96" i="7"/>
  <c r="T79" i="7"/>
  <c r="T62" i="7"/>
  <c r="Z64" i="7"/>
  <c r="L65" i="7" s="1"/>
  <c r="AH122" i="7"/>
  <c r="AH121" i="7"/>
  <c r="AP62" i="7"/>
  <c r="AQ62" i="7"/>
  <c r="AR62" i="7"/>
  <c r="AJ102" i="7" l="1"/>
  <c r="AJ85" i="7" l="1"/>
  <c r="F99" i="7" s="1"/>
  <c r="AJ103" i="7"/>
  <c r="AJ104" i="7" s="1"/>
  <c r="AL85" i="7" l="1"/>
  <c r="AM85" i="7" s="1"/>
  <c r="E98" i="7" s="1"/>
  <c r="AJ86" i="7"/>
  <c r="AJ87" i="7" s="1"/>
  <c r="AJ105" i="7"/>
  <c r="AI122" i="7" l="1"/>
  <c r="AL86" i="7"/>
  <c r="AM86" i="7" s="1"/>
  <c r="AJ88" i="7"/>
  <c r="AL88" i="7" s="1"/>
  <c r="AM88" i="7" s="1"/>
  <c r="AL87" i="7"/>
  <c r="AM87" i="7" s="1"/>
  <c r="E99" i="7" s="1"/>
  <c r="AG45" i="7" l="1"/>
  <c r="F33" i="2"/>
  <c r="E33" i="2"/>
  <c r="G33" i="2" l="1"/>
  <c r="BA45" i="7"/>
  <c r="AZ45" i="7"/>
  <c r="AY45" i="7"/>
  <c r="AX45" i="7"/>
  <c r="C23" i="7" l="1"/>
  <c r="G23" i="7"/>
  <c r="F23" i="7"/>
  <c r="D23" i="7"/>
  <c r="H18" i="7"/>
  <c r="AG124" i="7" l="1"/>
  <c r="F8" i="6" s="1"/>
  <c r="C25" i="6" s="1"/>
  <c r="E25" i="6" s="1"/>
  <c r="AD96" i="7"/>
  <c r="AO96" i="7" s="1"/>
  <c r="H23" i="7"/>
  <c r="AD62" i="7"/>
  <c r="AL62" i="7" s="1"/>
  <c r="AD113" i="7"/>
  <c r="AO113" i="7" s="1"/>
  <c r="AD79" i="7"/>
  <c r="AL79" i="7" s="1"/>
  <c r="AD45" i="7"/>
  <c r="AL45" i="7" s="1"/>
  <c r="T45" i="7"/>
  <c r="AC113" i="7"/>
  <c r="AC79" i="7"/>
  <c r="AI79" i="7" s="1"/>
  <c r="AC96" i="7"/>
  <c r="AI96" i="7" s="1"/>
  <c r="AC62" i="7"/>
  <c r="AH62" i="7" s="1"/>
  <c r="AC45" i="7"/>
  <c r="AJ45" i="7" s="1"/>
  <c r="J25" i="6" l="1"/>
  <c r="I25" i="6"/>
  <c r="C28" i="6"/>
  <c r="E28" i="6" s="1"/>
  <c r="C24" i="6"/>
  <c r="E24" i="6" s="1"/>
  <c r="C26" i="6"/>
  <c r="E26" i="6" s="1"/>
  <c r="C27" i="6"/>
  <c r="E27" i="6" s="1"/>
  <c r="C29" i="6"/>
  <c r="E29" i="6" s="1"/>
  <c r="AE45" i="7"/>
  <c r="L45" i="7"/>
  <c r="Z45" i="7" s="1"/>
  <c r="AH119" i="7"/>
  <c r="K45" i="7"/>
  <c r="AL96" i="7"/>
  <c r="AN96" i="7"/>
  <c r="AM96" i="7"/>
  <c r="BD96" i="7" s="1"/>
  <c r="BG96" i="7" s="1"/>
  <c r="C30" i="6"/>
  <c r="E30" i="6" s="1"/>
  <c r="AM62" i="7"/>
  <c r="AO62" i="7"/>
  <c r="AN62" i="7"/>
  <c r="AM79" i="7"/>
  <c r="BD79" i="7" s="1"/>
  <c r="BG79" i="7" s="1"/>
  <c r="AN45" i="7"/>
  <c r="AO79" i="7"/>
  <c r="AO45" i="7"/>
  <c r="AN79" i="7"/>
  <c r="AM45" i="7"/>
  <c r="AL113" i="7"/>
  <c r="AN113" i="7"/>
  <c r="AH79" i="7"/>
  <c r="BB79" i="7" s="1"/>
  <c r="BF79" i="7" s="1"/>
  <c r="AM113" i="7"/>
  <c r="AK113" i="7"/>
  <c r="BE113" i="7" s="1"/>
  <c r="BB62" i="7"/>
  <c r="AH68" i="7" s="1"/>
  <c r="AI113" i="7"/>
  <c r="AJ113" i="7"/>
  <c r="AH113" i="7"/>
  <c r="AK79" i="7"/>
  <c r="AJ79" i="7"/>
  <c r="AK96" i="7"/>
  <c r="BE96" i="7" s="1"/>
  <c r="AH96" i="7"/>
  <c r="AK62" i="7"/>
  <c r="AJ96" i="7"/>
  <c r="AK45" i="7"/>
  <c r="AI45" i="7"/>
  <c r="AJ62" i="7"/>
  <c r="AH45" i="7"/>
  <c r="AI62" i="7"/>
  <c r="AI34" i="7" l="1"/>
  <c r="AI68" i="7"/>
  <c r="Z47" i="7"/>
  <c r="I27" i="6"/>
  <c r="J27" i="6"/>
  <c r="I26" i="6"/>
  <c r="J26" i="6"/>
  <c r="I28" i="6"/>
  <c r="J28" i="6"/>
  <c r="I24" i="6"/>
  <c r="J24" i="6"/>
  <c r="I30" i="6"/>
  <c r="J30" i="6"/>
  <c r="I29" i="6"/>
  <c r="J29" i="6"/>
  <c r="BB96" i="7"/>
  <c r="AJ68" i="7" s="1"/>
  <c r="AH51" i="7"/>
  <c r="AH34" i="7"/>
  <c r="Y120" i="7"/>
  <c r="AS45" i="7"/>
  <c r="BE45" i="7" s="1"/>
  <c r="AR45" i="7"/>
  <c r="BC45" i="7" s="1"/>
  <c r="AQ45" i="7"/>
  <c r="BD45" i="7" s="1"/>
  <c r="BG45" i="7" s="1"/>
  <c r="AP45" i="7"/>
  <c r="BB45" i="7" s="1"/>
  <c r="AG51" i="7" s="1"/>
  <c r="AB120" i="7"/>
  <c r="AJ124" i="7"/>
  <c r="F6" i="6" s="1"/>
  <c r="AH124" i="7"/>
  <c r="F7" i="6" s="1"/>
  <c r="BC79" i="7"/>
  <c r="BC62" i="7"/>
  <c r="AH69" i="7" s="1"/>
  <c r="AH70" i="7" s="1"/>
  <c r="AH71" i="7" s="1"/>
  <c r="BE62" i="7"/>
  <c r="BC113" i="7"/>
  <c r="BC96" i="7"/>
  <c r="BE79" i="7"/>
  <c r="BB113" i="7"/>
  <c r="AK102" i="7" s="1"/>
  <c r="BD62" i="7"/>
  <c r="BG62" i="7" s="1"/>
  <c r="BD113" i="7"/>
  <c r="BG113" i="7" s="1"/>
  <c r="BF62" i="7"/>
  <c r="F116" i="7" l="1"/>
  <c r="AK103" i="7"/>
  <c r="AL102" i="7"/>
  <c r="AM102" i="7" s="1"/>
  <c r="F82" i="7"/>
  <c r="AG52" i="7"/>
  <c r="AG53" i="7" s="1"/>
  <c r="AG54" i="7" s="1"/>
  <c r="F65" i="7"/>
  <c r="C20" i="6"/>
  <c r="J8" i="6"/>
  <c r="AI35" i="7"/>
  <c r="AI36" i="7" s="1"/>
  <c r="AI37" i="7" s="1"/>
  <c r="AJ69" i="7"/>
  <c r="AJ70" i="7" s="1"/>
  <c r="AJ71" i="7" s="1"/>
  <c r="AI69" i="7"/>
  <c r="AL68" i="7"/>
  <c r="AM68" i="7" s="1"/>
  <c r="E81" i="7" s="1"/>
  <c r="AA120" i="7"/>
  <c r="L48" i="7"/>
  <c r="AK34" i="7"/>
  <c r="AK35" i="7" s="1"/>
  <c r="AK36" i="7" s="1"/>
  <c r="AK37" i="7" s="1"/>
  <c r="BF113" i="7"/>
  <c r="AJ34" i="7"/>
  <c r="AJ35" i="7" s="1"/>
  <c r="AJ36" i="7" s="1"/>
  <c r="AJ37" i="7" s="1"/>
  <c r="BF96" i="7"/>
  <c r="C22" i="6"/>
  <c r="E22" i="6" s="1"/>
  <c r="AH52" i="7"/>
  <c r="AH35" i="7"/>
  <c r="AH36" i="7" s="1"/>
  <c r="AH37" i="7" s="1"/>
  <c r="AL51" i="7"/>
  <c r="AM51" i="7" s="1"/>
  <c r="E64" i="7" s="1"/>
  <c r="AG34" i="7"/>
  <c r="BF45" i="7"/>
  <c r="E115" i="7" l="1"/>
  <c r="AI123" i="7"/>
  <c r="AK104" i="7"/>
  <c r="AL103" i="7"/>
  <c r="AM103" i="7" s="1"/>
  <c r="E20" i="6"/>
  <c r="I20" i="6" s="1"/>
  <c r="AL52" i="7"/>
  <c r="AM52" i="7" s="1"/>
  <c r="F48" i="7"/>
  <c r="J20" i="6"/>
  <c r="AI121" i="7"/>
  <c r="AI70" i="7"/>
  <c r="AL69" i="7"/>
  <c r="AM69" i="7" s="1"/>
  <c r="I22" i="6"/>
  <c r="AL34" i="7"/>
  <c r="AM34" i="7" s="1"/>
  <c r="E47" i="7" s="1"/>
  <c r="AH53" i="7"/>
  <c r="AH54" i="7" s="1"/>
  <c r="AL54" i="7" s="1"/>
  <c r="AM54" i="7" s="1"/>
  <c r="AI120" i="7"/>
  <c r="AG35" i="7"/>
  <c r="AG36" i="7" s="1"/>
  <c r="AK105" i="7" l="1"/>
  <c r="AL105" i="7" s="1"/>
  <c r="AM105" i="7" s="1"/>
  <c r="AL104" i="7"/>
  <c r="AM104" i="7" s="1"/>
  <c r="E116" i="7" s="1"/>
  <c r="AI119" i="7"/>
  <c r="AI124" i="7" s="1"/>
  <c r="AI71" i="7"/>
  <c r="AL71" i="7" s="1"/>
  <c r="AM71" i="7" s="1"/>
  <c r="AL70" i="7"/>
  <c r="AM70" i="7" s="1"/>
  <c r="E82" i="7" s="1"/>
  <c r="AL53" i="7"/>
  <c r="AM53" i="7" s="1"/>
  <c r="E65" i="7" s="1"/>
  <c r="AL35" i="7"/>
  <c r="AM35" i="7" s="1"/>
  <c r="AL36" i="7"/>
  <c r="AM36" i="7" s="1"/>
  <c r="E48" i="7" s="1"/>
  <c r="AG37" i="7"/>
  <c r="AL37" i="7" s="1"/>
  <c r="AM37" i="7" s="1"/>
  <c r="C21" i="6" l="1"/>
  <c r="E21" i="6" s="1"/>
  <c r="C15" i="6"/>
  <c r="C16" i="6"/>
  <c r="J6" i="6"/>
  <c r="C14" i="6"/>
  <c r="H14" i="6" l="1"/>
  <c r="E14" i="6"/>
  <c r="I14" i="6" s="1"/>
  <c r="E16" i="6"/>
  <c r="I16" i="6" s="1"/>
  <c r="H15" i="6"/>
  <c r="E15" i="6"/>
  <c r="I15" i="6" s="1"/>
  <c r="I21" i="6"/>
  <c r="J21" i="6"/>
  <c r="H21" i="6"/>
  <c r="H16" i="6"/>
  <c r="J16" i="6"/>
  <c r="Z46" i="7" l="1"/>
  <c r="Z120" i="7" l="1"/>
  <c r="J7" i="6" s="1"/>
  <c r="L47" i="7"/>
  <c r="C18" i="6" a="1"/>
  <c r="C18" i="6" s="1"/>
  <c r="E18" i="6" s="1"/>
  <c r="C19" i="6" l="1"/>
  <c r="C17" i="6"/>
  <c r="E17" i="6" s="1"/>
  <c r="I18" i="6"/>
  <c r="I17" i="6" l="1"/>
  <c r="I32" i="6" s="1"/>
  <c r="D34" i="6" s="1"/>
  <c r="E34" i="6" s="1"/>
  <c r="J17" i="6"/>
  <c r="J32" i="6" s="1"/>
  <c r="D35" i="6" s="1"/>
  <c r="D19" i="6"/>
  <c r="H19" i="6"/>
  <c r="H32" i="6" s="1"/>
  <c r="D36" i="6" s="1"/>
  <c r="E36" i="6" s="1"/>
  <c r="AW61" i="6" l="1"/>
  <c r="E35" i="6"/>
  <c r="AU62" i="6"/>
  <c r="AU63" i="6" s="1"/>
  <c r="AV62" i="6"/>
  <c r="AV63" i="6" s="1"/>
  <c r="AW62" i="6"/>
  <c r="AT62" i="6"/>
  <c r="AT63" i="6" s="1"/>
  <c r="AQ62" i="6"/>
  <c r="AP62" i="6"/>
  <c r="AS62" i="6"/>
  <c r="AR62" i="6"/>
  <c r="AP61" i="6"/>
  <c r="AW63" i="6" l="1"/>
  <c r="AS63" i="6"/>
  <c r="AQ63" i="6"/>
  <c r="AP63" i="6"/>
  <c r="AR63" i="6"/>
  <c r="H3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Thierry</author>
  </authors>
  <commentList>
    <comment ref="Z39" authorId="0" shapeId="0" xr:uid="{9FB8CFA9-29F8-5144-81DC-47A0AA691F73}">
      <text>
        <r>
          <rPr>
            <sz val="10"/>
            <color rgb="FF000000"/>
            <rFont val="Tahoma"/>
            <family val="2"/>
          </rPr>
          <t xml:space="preserve">1 switch pour 22 connexions
</t>
        </r>
      </text>
    </comment>
    <comment ref="AC39" authorId="0" shapeId="0" xr:uid="{FA4DA9FF-729E-E849-9877-8446D5EDF977}">
      <text>
        <r>
          <rPr>
            <sz val="10"/>
            <color rgb="FF000000"/>
            <rFont val="Tahoma"/>
            <family val="2"/>
          </rPr>
          <t>basé sur dotation déterminante et le nombre MAX d'élève par classe selon niveau</t>
        </r>
      </text>
    </comment>
    <comment ref="AD39" authorId="0" shapeId="0" xr:uid="{F6C6189A-B561-6746-B21B-30A581D90C5E}">
      <text>
        <r>
          <rPr>
            <sz val="10"/>
            <color rgb="FF000000"/>
            <rFont val="Calibri"/>
            <family val="2"/>
          </rPr>
          <t>basé sur dotation déterminante et la moy cantonale d'élève par classe selon niveau</t>
        </r>
      </text>
    </comment>
    <comment ref="Y45" authorId="0" shapeId="0" xr:uid="{6E79DFBC-4905-924E-A70D-B034DF8EC104}">
      <text>
        <r>
          <rPr>
            <sz val="10"/>
            <color rgb="FF000000"/>
            <rFont val="Tahoma"/>
            <family val="2"/>
          </rPr>
          <t>Solde de connexions après déduction des switches d'étage (dès 22 ports par étage)</t>
        </r>
      </text>
    </comment>
    <comment ref="Z45" authorId="0" shapeId="0" xr:uid="{27BFAF2D-F1B6-1B47-B0BF-BA4F44A0D3AA}">
      <text>
        <r>
          <rPr>
            <sz val="10"/>
            <color rgb="FF000000"/>
            <rFont val="Tahoma"/>
            <family val="2"/>
          </rPr>
          <t>Minimum 1 switch pour le bâtiment + solde de connexions</t>
        </r>
      </text>
    </comment>
    <comment ref="Z47" authorId="0" shapeId="0" xr:uid="{92AFEB39-65A4-D844-9B74-09ABEF8C4B05}">
      <text>
        <r>
          <rPr>
            <sz val="10"/>
            <color rgb="FF000000"/>
            <rFont val="Tahoma"/>
            <family val="2"/>
          </rPr>
          <t>Armoire pour switch : 1 par étage disposant d'un switch</t>
        </r>
      </text>
    </comment>
    <comment ref="Z56" authorId="0" shapeId="0" xr:uid="{01371931-B8BB-7749-B10A-9AEEBC0ABA05}">
      <text>
        <r>
          <rPr>
            <sz val="10"/>
            <color rgb="FF000000"/>
            <rFont val="Tahoma"/>
            <family val="2"/>
          </rPr>
          <t xml:space="preserve">1 switch pour 22 connexions
</t>
        </r>
      </text>
    </comment>
    <comment ref="Y62" authorId="0" shapeId="0" xr:uid="{E59FE653-D4B7-B64C-83D7-A7EC43D6566E}">
      <text>
        <r>
          <rPr>
            <sz val="10"/>
            <color rgb="FF000000"/>
            <rFont val="Tahoma"/>
            <family val="2"/>
          </rPr>
          <t>Solde de connexions après déduction des switches d'étage (dès 22 ports par étage)</t>
        </r>
      </text>
    </comment>
    <comment ref="Z62" authorId="0" shapeId="0" xr:uid="{8AEEA854-A29F-764B-98DF-649E6673D5EE}">
      <text>
        <r>
          <rPr>
            <sz val="10"/>
            <color rgb="FF000000"/>
            <rFont val="Tahoma"/>
            <family val="2"/>
          </rPr>
          <t>Minimum 1 switch pour le bâtiment + solde de connexions</t>
        </r>
      </text>
    </comment>
    <comment ref="Z64" authorId="0" shapeId="0" xr:uid="{7292203E-F277-3F43-9D17-D3ABA3EBC5C8}">
      <text>
        <r>
          <rPr>
            <sz val="10"/>
            <color rgb="FF000000"/>
            <rFont val="Tahoma"/>
            <family val="2"/>
          </rPr>
          <t>Armoire pour switch : 1 par étage disposant d'un switch</t>
        </r>
      </text>
    </comment>
    <comment ref="Z73" authorId="0" shapeId="0" xr:uid="{1C9A8588-B1D9-834D-A5E7-440C8222F477}">
      <text>
        <r>
          <rPr>
            <sz val="10"/>
            <color rgb="FF000000"/>
            <rFont val="Tahoma"/>
            <family val="2"/>
          </rPr>
          <t xml:space="preserve">1 switch pour 22 connexions
</t>
        </r>
      </text>
    </comment>
    <comment ref="Y79" authorId="0" shapeId="0" xr:uid="{EBE38EC4-8C35-D847-8347-4D727E127EB8}">
      <text>
        <r>
          <rPr>
            <sz val="10"/>
            <color rgb="FF000000"/>
            <rFont val="Tahoma"/>
            <family val="2"/>
          </rPr>
          <t>Solde de connexions après déduction des switches d'étage (dès 22 ports par étage)</t>
        </r>
      </text>
    </comment>
    <comment ref="Z79" authorId="0" shapeId="0" xr:uid="{61D254CE-8B8E-A944-AF25-D1EDBC120AA6}">
      <text>
        <r>
          <rPr>
            <sz val="10"/>
            <color rgb="FF000000"/>
            <rFont val="Tahoma"/>
            <family val="2"/>
          </rPr>
          <t>Minimum 1 switch pour le bâtiment + solde de connexions</t>
        </r>
      </text>
    </comment>
    <comment ref="Z81" authorId="0" shapeId="0" xr:uid="{117FCD58-7C9C-0441-9D66-0E503B2C13BC}">
      <text>
        <r>
          <rPr>
            <sz val="10"/>
            <color rgb="FF000000"/>
            <rFont val="Tahoma"/>
            <family val="2"/>
          </rPr>
          <t>Armoire pour switch : 1 par étage disposant d'un switch</t>
        </r>
      </text>
    </comment>
    <comment ref="Z90" authorId="0" shapeId="0" xr:uid="{DAA05C92-A40F-524B-AABC-39BC8717F094}">
      <text>
        <r>
          <rPr>
            <sz val="10"/>
            <color rgb="FF000000"/>
            <rFont val="Tahoma"/>
            <family val="2"/>
          </rPr>
          <t xml:space="preserve">1 switch pour 22 connexions
</t>
        </r>
      </text>
    </comment>
    <comment ref="Y96" authorId="0" shapeId="0" xr:uid="{C0317932-D780-5044-AC01-1FB0968DA178}">
      <text>
        <r>
          <rPr>
            <sz val="10"/>
            <color rgb="FF000000"/>
            <rFont val="Tahoma"/>
            <family val="2"/>
          </rPr>
          <t>Solde de connexions après déduction des switches d'étage (dès 22 ports par étage)</t>
        </r>
      </text>
    </comment>
    <comment ref="Z96" authorId="0" shapeId="0" xr:uid="{6ECD8396-52FA-F246-8EBB-C5C4C19B8C56}">
      <text>
        <r>
          <rPr>
            <sz val="10"/>
            <color rgb="FF000000"/>
            <rFont val="Tahoma"/>
            <family val="2"/>
          </rPr>
          <t>Minimum 1 switch pour le bâtiment + solde de connexions</t>
        </r>
      </text>
    </comment>
    <comment ref="Z98" authorId="0" shapeId="0" xr:uid="{70CA61C0-45B9-5B40-9082-F32961E15366}">
      <text>
        <r>
          <rPr>
            <sz val="10"/>
            <color rgb="FF000000"/>
            <rFont val="Tahoma"/>
            <family val="2"/>
          </rPr>
          <t>Armoire pour switch : 1 par étage disposant d'un switch</t>
        </r>
      </text>
    </comment>
    <comment ref="Z107" authorId="0" shapeId="0" xr:uid="{8479D88B-D9AA-DB4B-8EF1-4129144A2ECE}">
      <text>
        <r>
          <rPr>
            <sz val="10"/>
            <color rgb="FF000000"/>
            <rFont val="Tahoma"/>
            <family val="2"/>
          </rPr>
          <t xml:space="preserve">1 switch pour 22 connexions
</t>
        </r>
      </text>
    </comment>
    <comment ref="Y113" authorId="0" shapeId="0" xr:uid="{97EDE85E-BF48-B44F-8CBA-D10C1D779F00}">
      <text>
        <r>
          <rPr>
            <sz val="10"/>
            <color rgb="FF000000"/>
            <rFont val="Tahoma"/>
            <family val="2"/>
          </rPr>
          <t>Solde de connexions après déduction des switches d'étage (dès 22 ports par étage)</t>
        </r>
      </text>
    </comment>
    <comment ref="Z113" authorId="0" shapeId="0" xr:uid="{3DC94606-E354-5D43-B040-43AAD5582196}">
      <text>
        <r>
          <rPr>
            <sz val="10"/>
            <color rgb="FF000000"/>
            <rFont val="Tahoma"/>
            <family val="2"/>
          </rPr>
          <t>Minimum 1 switch pour le bâtiment + solde de connexions</t>
        </r>
      </text>
    </comment>
    <comment ref="Z115" authorId="0" shapeId="0" xr:uid="{A9DDC7A1-5D0C-4742-84E4-FF12D1D23B91}">
      <text>
        <r>
          <rPr>
            <sz val="10"/>
            <color rgb="FF000000"/>
            <rFont val="Tahoma"/>
            <family val="2"/>
          </rPr>
          <t>Armoire pour switch : 1 par étage disposant d'un switch</t>
        </r>
      </text>
    </comment>
    <comment ref="AH118" authorId="0" shapeId="0" xr:uid="{1C9266E2-2427-AC4E-93D0-03CE5CF10E20}">
      <text>
        <r>
          <rPr>
            <sz val="10"/>
            <color rgb="FF000000"/>
            <rFont val="Tahoma"/>
            <family val="2"/>
          </rPr>
          <t xml:space="preserve">Déterminé par nombre de salles de classe.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Thierry</author>
  </authors>
  <commentList>
    <comment ref="A35" authorId="0" shapeId="0" xr:uid="{202AC943-0C6C-D845-9821-562310AF2318}">
      <text>
        <r>
          <rPr>
            <b/>
            <sz val="10"/>
            <color rgb="FF000000"/>
            <rFont val="Tahoma"/>
            <family val="2"/>
          </rPr>
          <t>Thierry:</t>
        </r>
        <r>
          <rPr>
            <sz val="10"/>
            <color rgb="FF000000"/>
            <rFont val="Tahoma"/>
            <family val="2"/>
          </rPr>
          <t xml:space="preserve">
</t>
        </r>
        <r>
          <rPr>
            <sz val="10"/>
            <color rgb="FF000000"/>
            <rFont val="Tahoma"/>
            <family val="2"/>
          </rPr>
          <t>Testé avec la console debug de Youtube et les outils de dév Chrome</t>
        </r>
      </text>
    </comment>
    <comment ref="B35" authorId="0" shapeId="0" xr:uid="{E034FC38-7263-1C40-AC0D-A62FF5087308}">
      <text>
        <r>
          <rPr>
            <sz val="10"/>
            <color rgb="FF000000"/>
            <rFont val="Tahoma"/>
            <family val="2"/>
          </rPr>
          <t xml:space="preserve">Diffusion limite en 1080p
</t>
        </r>
      </text>
    </comment>
    <comment ref="C35" authorId="0" shapeId="0" xr:uid="{0022C1EB-29DA-524A-9208-1F80F54003CC}">
      <text>
        <r>
          <rPr>
            <sz val="10"/>
            <color rgb="FF000000"/>
            <rFont val="Tahoma"/>
            <family val="2"/>
          </rPr>
          <t xml:space="preserve">Diffusion limite en 4K
</t>
        </r>
      </text>
    </comment>
    <comment ref="B36" authorId="0" shapeId="0" xr:uid="{34C6ADB3-8437-654A-A2AA-4C662114A337}">
      <text>
        <r>
          <rPr>
            <sz val="10"/>
            <color rgb="FF000000"/>
            <rFont val="Tahoma"/>
            <family val="2"/>
          </rPr>
          <t xml:space="preserve">Diffusion limite en 720p
</t>
        </r>
      </text>
    </comment>
    <comment ref="C36" authorId="0" shapeId="0" xr:uid="{56B84ED9-28D0-7448-917D-5F60C315B337}">
      <text>
        <r>
          <rPr>
            <sz val="10"/>
            <color rgb="FF000000"/>
            <rFont val="Tahoma"/>
            <family val="2"/>
          </rPr>
          <t xml:space="preserve">Diffusion en 1080p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<sst xmlns="http://schemas.openxmlformats.org/spreadsheetml/2006/main" count="738" uniqueCount="361">
  <si>
    <t>RECHNER FÜR DEN DIGITALEN BEDARF
Beschreibung</t>
  </si>
  <si>
    <t>ZIELE</t>
  </si>
  <si>
    <t>VOR DEM AUSFÜLLEN</t>
  </si>
  <si>
    <r>
      <t xml:space="preserve">Einberufung des „IT-Ausschusses“ der Schule, der sich aus der Schuldirektion, der Ansprechperson, einigen an der Digitalisierung beteiligten Nutzende der Schule und dem schulischen oder kommunalen IT- oder Technikverantwortlichen* zusammensetzen sollte. Die Koordination mit den kommunalen Schulverantwortlichen muss gewährleistet sein. Wir empfehlen gemeinsame Arbeitssitzungen zum Ausfüllen dieses Dokuments.
* </t>
    </r>
    <r>
      <rPr>
        <i/>
        <sz val="10"/>
        <rFont val="Calibri"/>
        <family val="2"/>
        <scheme val="minor"/>
      </rPr>
      <t>Wenn kein IT-Verantwortlicher vorhanden ist, lassen Sie sich von technischen Experten des Bereichs begleiten.</t>
    </r>
  </si>
  <si>
    <t>KOSTENBERECHNUNG</t>
  </si>
  <si>
    <r>
      <t xml:space="preserve">Die Beträge werden auf der Grundlage von Durchschnittspreisen für übliche Ausrüstung und konventionelle Infrastruktur berechnet. Die Gesamtsumme der jährlichen und einmaligen Kosten stellt eine Einschätzung ohne Gewähr für die Gemeinde dar. 
Die </t>
    </r>
    <r>
      <rPr>
        <i/>
        <sz val="10"/>
        <color theme="1"/>
        <rFont val="Calibri"/>
        <family val="2"/>
        <scheme val="minor"/>
      </rPr>
      <t>anfänglichen einmaligen Gesamtkosten</t>
    </r>
    <r>
      <rPr>
        <sz val="10"/>
        <color theme="1"/>
        <rFont val="Calibri"/>
        <family val="2"/>
        <scheme val="minor"/>
      </rPr>
      <t xml:space="preserve"> sind die Investitionskosten für die Anschaffung der Netzwerk- und Peripheriegeräte, während </t>
    </r>
    <r>
      <rPr>
        <i/>
        <sz val="10"/>
        <color theme="1"/>
        <rFont val="Calibri"/>
        <family val="2"/>
        <scheme val="minor"/>
      </rPr>
      <t>die Gesamtkosten für die Erneuerung</t>
    </r>
    <r>
      <rPr>
        <sz val="10"/>
        <color theme="1"/>
        <rFont val="Calibri"/>
        <family val="2"/>
        <scheme val="minor"/>
      </rPr>
      <t xml:space="preserve"> eine Erneuerung der Peripheriegeräte </t>
    </r>
    <r>
      <rPr>
        <b/>
        <sz val="10"/>
        <color theme="1"/>
        <rFont val="Calibri"/>
        <family val="2"/>
        <scheme val="minor"/>
      </rPr>
      <t>alle 7 Jahre</t>
    </r>
    <r>
      <rPr>
        <sz val="10"/>
        <color theme="1"/>
        <rFont val="Calibri"/>
        <family val="2"/>
        <scheme val="minor"/>
      </rPr>
      <t xml:space="preserve"> vorsieht. Beachten Sie, dass die tatsächliche Lebensdauer der Geräte von der Nutzungsrate und der Qualität abhängt.
Je nach Umfang, Technologie- und Lieferantenwahl kann der tatsächliche Gesamtwert deutlich höher oder niedriger sein. Zum Beispiel wird die technologische Wahl einer interaktiven Tafel (von der die Vollversammlung der CIIP am 22. November 2018 abgeraten hat) viel teurer sein als ein Beamer ohne Interaktivität. Die Kosten variieren auch, wenn ein Wartungsvertrag mit einem IT-Partner der Gemeinde abgeschlossen wird oder je nachdem, wie die Infrastruktur verwaltet wird, usw.</t>
    </r>
  </si>
  <si>
    <t>AUSSERHALB DES UMFANGS DES RECHNERS</t>
  </si>
  <si>
    <r>
      <t xml:space="preserve">Der Rechner konzentriert sich auf die Ausstattung, welche für den ordnungsgemässen Betrieb der digitalen Geräte unbedingt erforderlich sind. 
</t>
    </r>
    <r>
      <rPr>
        <b/>
        <sz val="10"/>
        <rFont val="Calibri"/>
        <family val="2"/>
        <scheme val="minor"/>
      </rPr>
      <t xml:space="preserve">Er umfasst daher nicht </t>
    </r>
    <r>
      <rPr>
        <sz val="10"/>
        <rFont val="Calibri"/>
        <family val="2"/>
        <scheme val="minor"/>
      </rPr>
      <t>:
  • die Kosten</t>
    </r>
    <r>
      <rPr>
        <b/>
        <sz val="10"/>
        <rFont val="Calibri"/>
        <family val="2"/>
        <scheme val="minor"/>
      </rPr>
      <t xml:space="preserve"> für Computer und Tablets
  • </t>
    </r>
    <r>
      <rPr>
        <sz val="10"/>
        <rFont val="Calibri"/>
        <family val="2"/>
        <scheme val="minor"/>
      </rPr>
      <t>die</t>
    </r>
    <r>
      <rPr>
        <b/>
        <sz val="10"/>
        <rFont val="Calibri"/>
        <family val="2"/>
        <scheme val="minor"/>
      </rPr>
      <t xml:space="preserve"> Druck- und Kopiersysteme</t>
    </r>
    <r>
      <rPr>
        <sz val="10"/>
        <rFont val="Calibri"/>
        <family val="2"/>
        <scheme val="minor"/>
      </rPr>
      <t xml:space="preserve">
  • die </t>
    </r>
    <r>
      <rPr>
        <b/>
        <sz val="10"/>
        <rFont val="Calibri"/>
        <family val="2"/>
        <scheme val="minor"/>
      </rPr>
      <t>Telefonie</t>
    </r>
    <r>
      <rPr>
        <sz val="10"/>
        <rFont val="Calibri"/>
        <family val="2"/>
        <scheme val="minor"/>
      </rPr>
      <t xml:space="preserve">
  • die Kosten für die </t>
    </r>
    <r>
      <rPr>
        <b/>
        <sz val="10"/>
        <rFont val="Calibri"/>
        <family val="2"/>
        <scheme val="minor"/>
      </rPr>
      <t>Elektroinstallation</t>
    </r>
    <r>
      <rPr>
        <sz val="10"/>
        <rFont val="Calibri"/>
        <family val="2"/>
        <scheme val="minor"/>
      </rPr>
      <t xml:space="preserve">: Aufgrund der grossen Unterschiede in den Strukturen ist es nicht möglich, eine zuverlässige Schätzung vorzunehmen. Wenn Anpassungen vorgenommen werden müssen, sollten diese von einem Fachmann beurteilt werden.
  • Die Kosten für die </t>
    </r>
    <r>
      <rPr>
        <b/>
        <sz val="10"/>
        <rFont val="Calibri"/>
        <family val="2"/>
        <scheme val="minor"/>
      </rPr>
      <t xml:space="preserve">IT-Unterstützung </t>
    </r>
    <r>
      <rPr>
        <sz val="10"/>
        <rFont val="Calibri"/>
        <family val="2"/>
        <scheme val="minor"/>
      </rPr>
      <t xml:space="preserve">(Leistungen Dritter, IT-Beauftragter, ohne Netzwerkwartungsvertrag) sind in diesem Rechner nicht enthalten. Die Anforderungen unterscheiden sich je nach dem spezifischen Kontext der Einrichtung und variieren mit den technologischen Entwicklungen. </t>
    </r>
  </si>
  <si>
    <t>RECHNER FÜR DEN DIGITALEN BEDARF
Gebrauchsanweisung</t>
  </si>
  <si>
    <r>
      <t xml:space="preserve">In einem ersten Schritt </t>
    </r>
    <r>
      <rPr>
        <b/>
        <sz val="11"/>
        <color rgb="FF0B898F"/>
        <rFont val="Calibri"/>
        <family val="2"/>
        <scheme val="minor"/>
      </rPr>
      <t xml:space="preserve">muss </t>
    </r>
    <r>
      <rPr>
        <b/>
        <u/>
        <sz val="11"/>
        <color rgb="FF0B898F"/>
        <rFont val="Calibri"/>
        <family val="2"/>
        <scheme val="minor"/>
      </rPr>
      <t>ein</t>
    </r>
    <r>
      <rPr>
        <b/>
        <sz val="11"/>
        <color rgb="FF0B898F"/>
        <rFont val="Calibri"/>
        <family val="2"/>
        <scheme val="minor"/>
      </rPr>
      <t xml:space="preserve"> Rechner für den digitalen Bedarf </t>
    </r>
    <r>
      <rPr>
        <b/>
        <u/>
        <sz val="11"/>
        <color rgb="FF0B898F"/>
        <rFont val="Calibri"/>
        <family val="2"/>
        <scheme val="minor"/>
      </rPr>
      <t>pro Schule</t>
    </r>
    <r>
      <rPr>
        <b/>
        <sz val="11"/>
        <color rgb="FF0B898F"/>
        <rFont val="Calibri"/>
        <family val="2"/>
        <scheme val="minor"/>
      </rPr>
      <t xml:space="preserve"> ausgefüllt werden</t>
    </r>
    <r>
      <rPr>
        <sz val="11"/>
        <color theme="1"/>
        <rFont val="Calibri"/>
        <family val="2"/>
        <scheme val="minor"/>
      </rPr>
      <t>.</t>
    </r>
  </si>
  <si>
    <r>
      <rPr>
        <b/>
        <sz val="14"/>
        <color theme="0"/>
        <rFont val="Calibri"/>
        <family val="2"/>
        <scheme val="minor"/>
      </rPr>
      <t xml:space="preserve">Schritt 1: </t>
    </r>
    <r>
      <rPr>
        <sz val="14"/>
        <color theme="0"/>
        <rFont val="Calibri"/>
        <family val="2"/>
        <scheme val="minor"/>
      </rPr>
      <t>Ausfüllen des Formulars</t>
    </r>
    <r>
      <rPr>
        <b/>
        <sz val="14"/>
        <color theme="0"/>
        <rFont val="Calibri"/>
        <family val="2"/>
        <scheme val="minor"/>
      </rPr>
      <t xml:space="preserve"> </t>
    </r>
    <r>
      <rPr>
        <b/>
        <i/>
        <sz val="14"/>
        <color theme="0"/>
        <rFont val="Calibri"/>
        <family val="2"/>
        <scheme val="minor"/>
      </rPr>
      <t>1. Logistische und organisatorische Daten</t>
    </r>
  </si>
  <si>
    <r>
      <t xml:space="preserve">Um diese Informationen zu erhalten, müssen Sie die </t>
    </r>
    <r>
      <rPr>
        <sz val="10"/>
        <color rgb="FF0070C0"/>
        <rFont val="Calibri"/>
        <family val="2"/>
        <scheme val="minor"/>
      </rPr>
      <t>weiss unterlegten Felder</t>
    </r>
    <r>
      <rPr>
        <sz val="10"/>
        <color theme="1"/>
        <rFont val="Calibri"/>
        <family val="2"/>
        <scheme val="minor"/>
      </rPr>
      <t xml:space="preserve"> </t>
    </r>
    <r>
      <rPr>
        <b/>
        <sz val="10"/>
        <color theme="1"/>
        <rFont val="Calibri"/>
        <family val="2"/>
        <scheme val="minor"/>
      </rPr>
      <t>ausfüllen</t>
    </r>
    <r>
      <rPr>
        <sz val="10"/>
        <color theme="1"/>
        <rFont val="Calibri"/>
        <family val="2"/>
        <scheme val="minor"/>
      </rPr>
      <t xml:space="preserve">.
</t>
    </r>
    <r>
      <rPr>
        <b/>
        <sz val="10"/>
        <color rgb="FF0B898F"/>
        <rFont val="Calibri"/>
        <family val="2"/>
        <scheme val="minor"/>
      </rPr>
      <t xml:space="preserve">1- BERECHNUNGSGRUNDLAGEN : </t>
    </r>
    <r>
      <rPr>
        <sz val="10"/>
        <color theme="1"/>
        <rFont val="Calibri"/>
        <family val="2"/>
        <scheme val="minor"/>
      </rPr>
      <t xml:space="preserve">
</t>
    </r>
    <r>
      <rPr>
        <sz val="10"/>
        <color rgb="FF1FB7C6"/>
        <rFont val="Calibri"/>
        <family val="2"/>
        <scheme val="minor"/>
      </rPr>
      <t>•</t>
    </r>
    <r>
      <rPr>
        <sz val="10"/>
        <color theme="1"/>
        <rFont val="Calibri"/>
        <family val="2"/>
        <scheme val="minor"/>
      </rPr>
      <t xml:space="preserve"> Die tatsächliche physische Schülerzahl zu diesem Zeitpunkt
</t>
    </r>
    <r>
      <rPr>
        <sz val="10"/>
        <color rgb="FF1FB7C6"/>
        <rFont val="Calibri"/>
        <family val="2"/>
        <scheme val="minor"/>
      </rPr>
      <t>•</t>
    </r>
    <r>
      <rPr>
        <sz val="10"/>
        <color theme="1"/>
        <rFont val="Calibri"/>
        <family val="2"/>
        <scheme val="minor"/>
      </rPr>
      <t xml:space="preserve"> Die Ausstattungsstandards der Schule (siehe „Zoom auf die Ausstattungsstandards“)</t>
    </r>
  </si>
  <si>
    <r>
      <rPr>
        <b/>
        <sz val="10"/>
        <color rgb="FF0B898F"/>
        <rFont val="Calibri"/>
        <family val="2"/>
        <scheme val="minor"/>
      </rPr>
      <t>2- BERECHNUNG DES NETZWERKS, DES INTERNETZUGANGS UND DER ABLAGESYSTEME :</t>
    </r>
    <r>
      <rPr>
        <sz val="10"/>
        <color theme="1"/>
        <rFont val="Calibri"/>
        <family val="2"/>
        <scheme val="minor"/>
      </rPr>
      <t xml:space="preserve"> 1 Gebäude* = 1 Tabelle zum Ausfüllen 
*</t>
    </r>
    <r>
      <rPr>
        <i/>
        <sz val="10"/>
        <color theme="1"/>
        <rFont val="Calibri"/>
        <family val="2"/>
        <scheme val="minor"/>
      </rPr>
      <t>Gebäude = freistehendes Gebäude oder mehrere Gebäude, die eine Einheit von miteinander verbundenen Bauten am selben Ort bilden.
Die Anzahl der Gebäude und Stockwerke, Klassenzimmer, ... muss an Ihre Situation angepasst werden</t>
    </r>
    <r>
      <rPr>
        <sz val="10"/>
        <color theme="1"/>
        <rFont val="Calibri"/>
        <family val="2"/>
        <scheme val="minor"/>
      </rPr>
      <t xml:space="preserve"> :
</t>
    </r>
    <r>
      <rPr>
        <sz val="10"/>
        <color rgb="FF1FB7C6"/>
        <rFont val="Calibri"/>
        <family val="2"/>
        <scheme val="minor"/>
      </rPr>
      <t xml:space="preserve">• </t>
    </r>
    <r>
      <rPr>
        <sz val="10"/>
        <color theme="1"/>
        <rFont val="Calibri"/>
        <family val="2"/>
        <scheme val="minor"/>
      </rPr>
      <t xml:space="preserve">Aufschlüsseln der </t>
    </r>
    <r>
      <rPr>
        <b/>
        <sz val="10"/>
        <color theme="1"/>
        <rFont val="Calibri"/>
        <family val="2"/>
        <scheme val="minor"/>
      </rPr>
      <t>Klassenräume für die verschiedenen Klassenstufen</t>
    </r>
    <r>
      <rPr>
        <sz val="10"/>
        <color theme="1"/>
        <rFont val="Calibri"/>
        <family val="2"/>
        <scheme val="minor"/>
      </rPr>
      <t xml:space="preserve"> in den verschiedenen Stockwerken des Gebäudes.</t>
    </r>
    <r>
      <rPr>
        <sz val="10"/>
        <rFont val="Calibri"/>
        <family val="2"/>
        <scheme val="minor"/>
      </rPr>
      <t xml:space="preserve">
</t>
    </r>
    <r>
      <rPr>
        <sz val="10"/>
        <rFont val="Webdings"/>
        <family val="1"/>
        <charset val="2"/>
      </rPr>
      <t xml:space="preserve">  i</t>
    </r>
    <r>
      <rPr>
        <sz val="12"/>
        <rFont val="Calibri"/>
        <family val="2"/>
      </rPr>
      <t xml:space="preserve"> </t>
    </r>
    <r>
      <rPr>
        <sz val="10"/>
        <rFont val="Calibri"/>
        <family val="2"/>
        <scheme val="minor"/>
      </rPr>
      <t xml:space="preserve">Bei Klassenzimmern mit mehreren Klassenstufen, weisen Sie dem Klassenzimmer </t>
    </r>
    <r>
      <rPr>
        <u/>
        <sz val="10"/>
        <rFont val="Calibri"/>
        <family val="2"/>
        <scheme val="minor"/>
      </rPr>
      <t>das höchste Programmjahr zu</t>
    </r>
    <r>
      <rPr>
        <sz val="10"/>
        <rFont val="Calibri"/>
        <family val="2"/>
        <scheme val="minor"/>
      </rPr>
      <t xml:space="preserve">. </t>
    </r>
    <r>
      <rPr>
        <sz val="10"/>
        <color theme="1"/>
        <rFont val="Calibri"/>
        <family val="2"/>
        <scheme val="minor"/>
      </rPr>
      <t xml:space="preserve">
</t>
    </r>
    <r>
      <rPr>
        <sz val="10"/>
        <color rgb="FF1FB7C6"/>
        <rFont val="Calibri"/>
        <family val="2"/>
        <scheme val="minor"/>
      </rPr>
      <t xml:space="preserve">• </t>
    </r>
    <r>
      <rPr>
        <sz val="10"/>
        <color theme="1"/>
        <rFont val="Calibri"/>
        <family val="2"/>
        <scheme val="minor"/>
      </rPr>
      <t xml:space="preserve">Fügen Sie </t>
    </r>
    <r>
      <rPr>
        <b/>
        <sz val="10"/>
        <color theme="1"/>
        <rFont val="Calibri"/>
        <family val="2"/>
        <scheme val="minor"/>
      </rPr>
      <t xml:space="preserve">Klassenzimmer für spezielle Klassen </t>
    </r>
    <r>
      <rPr>
        <sz val="10"/>
        <color theme="1"/>
        <rFont val="Calibri"/>
        <family val="2"/>
        <scheme val="minor"/>
      </rPr>
      <t xml:space="preserve">hinzu: Unterrichtsräume wie Natur unTechnik-, Musik-, usw. Wie normale Klassenzimmer benötigen sie ein Projektions- und Audiosystem, eine verkabelte Internetverbindung, eine Dockingstation,...
</t>
    </r>
    <r>
      <rPr>
        <sz val="10"/>
        <color rgb="FF1FB7C6"/>
        <rFont val="Calibri"/>
        <family val="2"/>
        <scheme val="minor"/>
      </rPr>
      <t>•</t>
    </r>
    <r>
      <rPr>
        <sz val="10"/>
        <color theme="1"/>
        <rFont val="Calibri"/>
        <family val="2"/>
        <scheme val="minor"/>
      </rPr>
      <t xml:space="preserve"> Fügen Sie </t>
    </r>
    <r>
      <rPr>
        <b/>
        <sz val="10"/>
        <color theme="1"/>
        <rFont val="Calibri"/>
        <family val="2"/>
        <scheme val="minor"/>
      </rPr>
      <t xml:space="preserve">andere Arbeitsplätze </t>
    </r>
    <r>
      <rPr>
        <sz val="10"/>
        <color theme="1"/>
        <rFont val="Calibri"/>
        <family val="2"/>
        <scheme val="minor"/>
      </rPr>
      <t xml:space="preserve">in der Schule hinzu, die über Geräte verfügen, die mit dem Internet verbunden sind, entweder über Kabel oder Wifi. Dies sind z.B. Kopierer, Sporthallen, Aula, Büros der Schuldienste oder der Direktion, Verwaltung, Schulbibliothek, Lehrpersonenzimmer, Computerraum (falls vorhanden),....
Dies ermöglicht die Bewertung von : 
</t>
    </r>
    <r>
      <rPr>
        <b/>
        <sz val="10"/>
        <color theme="1"/>
        <rFont val="Calibri"/>
        <family val="2"/>
        <scheme val="minor"/>
      </rPr>
      <t xml:space="preserve">        1-</t>
    </r>
    <r>
      <rPr>
        <sz val="10"/>
        <color theme="1"/>
        <rFont val="Calibri"/>
        <family val="2"/>
        <scheme val="minor"/>
      </rPr>
      <t xml:space="preserve"> Die Anzahl der Geräte, die mit dem Netzwerk </t>
    </r>
    <r>
      <rPr>
        <b/>
        <sz val="10"/>
        <color theme="1"/>
        <rFont val="Calibri"/>
        <family val="2"/>
        <scheme val="minor"/>
      </rPr>
      <t xml:space="preserve">verkabelt </t>
    </r>
    <r>
      <rPr>
        <sz val="10"/>
        <color theme="1"/>
        <rFont val="Calibri"/>
        <family val="2"/>
        <scheme val="minor"/>
      </rPr>
      <t xml:space="preserve">werden müssen (wirkt sich auf die Anzahl der Switches aus).  
        </t>
    </r>
    <r>
      <rPr>
        <b/>
        <sz val="10"/>
        <color theme="1"/>
        <rFont val="Calibri"/>
        <family val="2"/>
        <scheme val="minor"/>
      </rPr>
      <t>2-</t>
    </r>
    <r>
      <rPr>
        <sz val="10"/>
        <color theme="1"/>
        <rFont val="Calibri"/>
        <family val="2"/>
        <scheme val="minor"/>
      </rPr>
      <t xml:space="preserve"> Die Anzahl der Geräte, die mit </t>
    </r>
    <r>
      <rPr>
        <b/>
        <sz val="10"/>
        <color theme="1"/>
        <rFont val="Calibri"/>
        <family val="2"/>
        <scheme val="minor"/>
      </rPr>
      <t>WLAN</t>
    </r>
    <r>
      <rPr>
        <sz val="10"/>
        <color theme="1"/>
        <rFont val="Calibri"/>
        <family val="2"/>
        <scheme val="minor"/>
      </rPr>
      <t xml:space="preserve"> verbunden werden (beeinflusst die benötigte Bandbreite).</t>
    </r>
    <r>
      <rPr>
        <sz val="10"/>
        <color rgb="FF1FB7C6"/>
        <rFont val="Calibri"/>
        <family val="2"/>
        <scheme val="minor"/>
      </rPr>
      <t xml:space="preserve">
•</t>
    </r>
    <r>
      <rPr>
        <sz val="10"/>
        <color theme="1"/>
        <rFont val="Calibri"/>
        <family val="2"/>
        <scheme val="minor"/>
      </rPr>
      <t xml:space="preserve"> Fügen Sie die erforderlichen </t>
    </r>
    <r>
      <rPr>
        <b/>
        <sz val="10"/>
        <color theme="1"/>
        <rFont val="Calibri"/>
        <family val="2"/>
        <scheme val="minor"/>
      </rPr>
      <t>Aufbewahrungssysteme</t>
    </r>
    <r>
      <rPr>
        <sz val="10"/>
        <color theme="1"/>
        <rFont val="Calibri"/>
        <family val="2"/>
        <scheme val="minor"/>
      </rPr>
      <t xml:space="preserve"> pro Etage hinzu. Der Einfachheit halber können in der Tabelle nicht mehrere Arten von Aufbewahrungssystemen pro Etage eingegeben werden. Die Idee ist es, eine Grössenordnung der Investitionen für die Aufbewahrung der Ausrüstung anzugeben.</t>
    </r>
  </si>
  <si>
    <r>
      <rPr>
        <b/>
        <sz val="14"/>
        <color theme="0"/>
        <rFont val="Calibri"/>
        <family val="2"/>
        <scheme val="minor"/>
      </rPr>
      <t>Schritt 2</t>
    </r>
    <r>
      <rPr>
        <sz val="14"/>
        <color theme="0"/>
        <rFont val="Calibri"/>
        <family val="2"/>
        <scheme val="minor"/>
      </rPr>
      <t xml:space="preserve"> : Ausfüllen des Formulars </t>
    </r>
    <r>
      <rPr>
        <b/>
        <i/>
        <sz val="14"/>
        <color theme="0"/>
        <rFont val="Calibri"/>
        <family val="2"/>
        <scheme val="minor"/>
      </rPr>
      <t>2. Kostenschätzung der technischen Infrastruktur</t>
    </r>
  </si>
  <si>
    <r>
      <t>Um das Formular 2 „</t>
    </r>
    <r>
      <rPr>
        <i/>
        <sz val="10"/>
        <color theme="1"/>
        <rFont val="Calibri"/>
        <family val="2"/>
        <scheme val="minor"/>
      </rPr>
      <t>Kostenschätzung der technischen Infrastruktur</t>
    </r>
    <r>
      <rPr>
        <sz val="10"/>
        <color theme="1"/>
        <rFont val="Calibri"/>
        <family val="2"/>
        <scheme val="minor"/>
      </rPr>
      <t>“ auszufüllen, klicken Sie auf die Schaltfläche „</t>
    </r>
    <r>
      <rPr>
        <i/>
        <sz val="10"/>
        <color theme="1"/>
        <rFont val="Calibri"/>
        <family val="2"/>
        <scheme val="minor"/>
      </rPr>
      <t>Zu 2. Kostenschätzung der technischen Infrastruktur</t>
    </r>
    <r>
      <rPr>
        <sz val="10"/>
        <color theme="1"/>
        <rFont val="Calibri"/>
        <family val="2"/>
        <scheme val="minor"/>
      </rPr>
      <t xml:space="preserve">“ rechts oben in Formular 1.
Wie im Formular 1 sind die auszufüllenden Felder </t>
    </r>
    <r>
      <rPr>
        <sz val="10"/>
        <color rgb="FF0070C0"/>
        <rFont val="Calibri"/>
        <family val="2"/>
        <scheme val="minor"/>
      </rPr>
      <t>die weiss unterlegten Felder</t>
    </r>
    <r>
      <rPr>
        <sz val="10"/>
        <color theme="1"/>
        <rFont val="Calibri"/>
        <family val="2"/>
        <scheme val="minor"/>
      </rPr>
      <t xml:space="preserve">.
</t>
    </r>
    <r>
      <rPr>
        <sz val="10"/>
        <color rgb="FF1FB7C6"/>
        <rFont val="Calibri (Corps)"/>
      </rPr>
      <t>•</t>
    </r>
    <r>
      <rPr>
        <sz val="10"/>
        <color theme="1"/>
        <rFont val="Calibri"/>
        <family val="2"/>
        <scheme val="minor"/>
      </rPr>
      <t xml:space="preserve"> Ändern Sie für die Räume und Gebäude die Anzahl der bereits „</t>
    </r>
    <r>
      <rPr>
        <b/>
        <sz val="10"/>
        <color theme="1"/>
        <rFont val="Calibri"/>
        <family val="2"/>
        <scheme val="minor"/>
      </rPr>
      <t>vorhandenen und zu erhaltenden</t>
    </r>
    <r>
      <rPr>
        <sz val="10"/>
        <color theme="1"/>
        <rFont val="Calibri"/>
        <family val="2"/>
        <scheme val="minor"/>
      </rPr>
      <t>“ Ausstattungen. 
Die Anzahl der „fehlenden - zu erneuernden“ Geräte wird automatisch anhand der Anzahl der Räume, Gebäude und Stockwerke berechnet.</t>
    </r>
  </si>
  <si>
    <t>RECHNER FÜR DEN DIGITALEN BEDARF
1. Logistische und organisatorische Daten SOLL-Zustand</t>
  </si>
  <si>
    <t>Schule</t>
  </si>
  <si>
    <r>
      <t xml:space="preserve">* </t>
    </r>
    <r>
      <rPr>
        <i/>
        <sz val="11"/>
        <color theme="1"/>
        <rFont val="Calibri"/>
        <family val="2"/>
        <scheme val="minor"/>
      </rPr>
      <t>Der Begriff "Schüler" umfasst die physischen Schülerinnen und Schüler der obligatorischen Schule</t>
    </r>
  </si>
  <si>
    <t>1- BERECHNUNGSGRUNDLAGEN</t>
  </si>
  <si>
    <t>Schülerzahlen</t>
  </si>
  <si>
    <t>1-2H</t>
  </si>
  <si>
    <t>3-4H</t>
  </si>
  <si>
    <t>5-6H</t>
  </si>
  <si>
    <t>7-8H</t>
  </si>
  <si>
    <t>9-11H</t>
  </si>
  <si>
    <t>Total</t>
  </si>
  <si>
    <t>Anz. der physischen Schüler*</t>
  </si>
  <si>
    <t>Pas vertical</t>
  </si>
  <si>
    <t>Anz. der Klassen</t>
  </si>
  <si>
    <t>Ausstattungszuweisungen für Schüler*</t>
  </si>
  <si>
    <r>
      <t xml:space="preserve">N pro </t>
    </r>
    <r>
      <rPr>
        <u/>
        <sz val="11"/>
        <color theme="1"/>
        <rFont val="Calibri"/>
        <family val="2"/>
        <scheme val="minor"/>
      </rPr>
      <t>Klasse</t>
    </r>
  </si>
  <si>
    <t>1 für N Schüler</t>
  </si>
  <si>
    <t>Zusammenfassung der Aufbewahrungssysteme für digitale Geräte</t>
  </si>
  <si>
    <t>Coût d'un switch d'étage</t>
  </si>
  <si>
    <t>Ports</t>
  </si>
  <si>
    <t>Typ</t>
  </si>
  <si>
    <t>Einheiten Gesamt</t>
  </si>
  <si>
    <t>Kosten pro Einheit</t>
  </si>
  <si>
    <t>Kosten</t>
  </si>
  <si>
    <t>Switch</t>
  </si>
  <si>
    <t>Armoire switch</t>
  </si>
  <si>
    <t>Coût tirage câble Eth</t>
  </si>
  <si>
    <t>par port</t>
  </si>
  <si>
    <t>Massgeblicher Wert</t>
  </si>
  <si>
    <t>Anz. Ausstattung Schüler</t>
  </si>
  <si>
    <t>Moy. élèves par classe</t>
  </si>
  <si>
    <t>Moy. Canton</t>
  </si>
  <si>
    <t>Coût carottage 10 cm</t>
  </si>
  <si>
    <r>
      <t xml:space="preserve">2- BERECHNUNG DES </t>
    </r>
    <r>
      <rPr>
        <b/>
        <sz val="14"/>
        <color theme="0"/>
        <rFont val="Calibri"/>
        <family val="2"/>
        <scheme val="minor"/>
      </rPr>
      <t>NETZWERKS, DES INTERNETZUGANGS UND DER ABLAGESYSTEME (ZIEL)</t>
    </r>
  </si>
  <si>
    <t>Überprüfung</t>
  </si>
  <si>
    <t>Anzahl der Klassenräume pro Klassenstufe, aufgeteilt nach Gebäuden</t>
  </si>
  <si>
    <t>Calcul de la bande passante internet requise</t>
  </si>
  <si>
    <t>TOT</t>
  </si>
  <si>
    <t>TOTARR</t>
  </si>
  <si>
    <t>Gebäude 1</t>
  </si>
  <si>
    <t>Bezeichnung :</t>
  </si>
  <si>
    <t>IN MIN</t>
  </si>
  <si>
    <t>Direkter Internetzugang im Gebäude:</t>
  </si>
  <si>
    <t>ja</t>
  </si>
  <si>
    <t>OUT MIN</t>
  </si>
  <si>
    <t xml:space="preserve">Falls nicht, Internetzugang gemeinsam mit : </t>
  </si>
  <si>
    <t>Gebäude. 1</t>
  </si>
  <si>
    <t>IN REC</t>
  </si>
  <si>
    <t>MASQUER</t>
  </si>
  <si>
    <t>OUT REC</t>
  </si>
  <si>
    <t>Anzahl der normalen Klassenzimmer</t>
  </si>
  <si>
    <t>Anz. der Sonder- und Reserveklassenzimmer</t>
  </si>
  <si>
    <t>Andere Plätze, Positionen, Geräte</t>
  </si>
  <si>
    <t>Netzwerk</t>
  </si>
  <si>
    <t>Aufbewahrungssysteme für das Gebäude (pro Stockwerk)</t>
  </si>
  <si>
    <t>Nb équip. Élèves selon dotation</t>
  </si>
  <si>
    <t>Coûts systèmes de rangement</t>
  </si>
  <si>
    <t xml:space="preserve">Switches d'étage/bât. </t>
  </si>
  <si>
    <t>Über Kabel mit dem Netzwerk verbunden</t>
  </si>
  <si>
    <t>Über WLAN mit dem Netzwerk verbunden</t>
  </si>
  <si>
    <t>Anz. der WLAN-Zugangspunkte</t>
  </si>
  <si>
    <t>Anz. der Netzwerkverbindungen</t>
  </si>
  <si>
    <t>Gesamte Anzahl der Aufbewahrungssysteme</t>
  </si>
  <si>
    <t>Vorhanden / zu erhalten</t>
  </si>
  <si>
    <t>Fehlend / zu erneuern</t>
  </si>
  <si>
    <t>Prix unit.</t>
  </si>
  <si>
    <t>Coût tot. renouvell.</t>
  </si>
  <si>
    <t>Coût tot. initial</t>
  </si>
  <si>
    <t>Connexions totales</t>
  </si>
  <si>
    <t>Switches étage 24p</t>
  </si>
  <si>
    <t>Solde connexion</t>
  </si>
  <si>
    <t>Nb. Équip. Élé. 1-8H</t>
  </si>
  <si>
    <t>Nb. Équip. Élé. 9-11H</t>
  </si>
  <si>
    <t>Nb. Équip. Enseign.</t>
  </si>
  <si>
    <t>Nb. Postes câblés</t>
  </si>
  <si>
    <t>Nb. Équip. Autres</t>
  </si>
  <si>
    <t>Débit stu 1-8H IN min</t>
  </si>
  <si>
    <t>Débit stu 1-8H IN rec</t>
  </si>
  <si>
    <t>Débit stu 1-8H OUT min</t>
  </si>
  <si>
    <t>Débit stu 1-8H OUT rec</t>
  </si>
  <si>
    <t>Débit stu 9-11H IN min</t>
  </si>
  <si>
    <t>Débit stu 9-11H IN rec</t>
  </si>
  <si>
    <t>Débit stu 9-11H OUT min</t>
  </si>
  <si>
    <t>Débit stu 9-11H OUT rec</t>
  </si>
  <si>
    <t>Débit IN enseign. Min</t>
  </si>
  <si>
    <t>Débit IN enseign. rec</t>
  </si>
  <si>
    <t>Débit OUT enseign. Min</t>
  </si>
  <si>
    <t>Débit OUT enseign. rec</t>
  </si>
  <si>
    <t>Débit salles info IN min</t>
  </si>
  <si>
    <t>Débit salles info IN rec</t>
  </si>
  <si>
    <t>Débit salles info OUT min</t>
  </si>
  <si>
    <t>Débit salles info OUT rec</t>
  </si>
  <si>
    <t>Débit IN autres min</t>
  </si>
  <si>
    <t>Débit IN autres rec</t>
  </si>
  <si>
    <t>Débit OUT autres min</t>
  </si>
  <si>
    <t>Débit OUT autres rec</t>
  </si>
  <si>
    <t>Débit IN réseau min</t>
  </si>
  <si>
    <t>Débit OUT réseau min</t>
  </si>
  <si>
    <t>Débit IN réseau rec</t>
  </si>
  <si>
    <t>Débit OUT du réseau rec</t>
  </si>
  <si>
    <t>Débit IN min. /équip.</t>
  </si>
  <si>
    <t>Débit IN rec. / équip.</t>
  </si>
  <si>
    <t>1. Stock</t>
  </si>
  <si>
    <t>2. Stock</t>
  </si>
  <si>
    <t>3. Stock</t>
  </si>
  <si>
    <t>4. Stock</t>
  </si>
  <si>
    <t>5. Stock</t>
  </si>
  <si>
    <t>Internet-Zugang</t>
  </si>
  <si>
    <r>
      <rPr>
        <u/>
        <sz val="11"/>
        <color theme="1"/>
        <rFont val="Calibri"/>
        <family val="2"/>
        <scheme val="minor"/>
      </rPr>
      <t>Minimale</t>
    </r>
    <r>
      <rPr>
        <sz val="11"/>
        <color theme="1"/>
        <rFont val="Calibri"/>
        <family val="2"/>
        <scheme val="minor"/>
      </rPr>
      <t xml:space="preserve"> Bandbreite (Mbits/s)</t>
    </r>
  </si>
  <si>
    <t>Gebäude Enthalten :</t>
  </si>
  <si>
    <t>Anz. der 24-Port-Switches (Schätzung)</t>
  </si>
  <si>
    <r>
      <rPr>
        <u/>
        <sz val="11"/>
        <color theme="1"/>
        <rFont val="Calibri"/>
        <family val="2"/>
        <scheme val="minor"/>
      </rPr>
      <t>Empfohlene</t>
    </r>
    <r>
      <rPr>
        <sz val="11"/>
        <color theme="1"/>
        <rFont val="Calibri"/>
        <family val="2"/>
        <scheme val="minor"/>
      </rPr>
      <t xml:space="preserve"> Bandbreite (Mbits/s)</t>
    </r>
  </si>
  <si>
    <t>Anz. der Netzwerkschränke (Schätzung)</t>
  </si>
  <si>
    <t>Gebäude 2</t>
  </si>
  <si>
    <t>Direkter Internetzugang im Gebäude ?</t>
  </si>
  <si>
    <t>nein</t>
  </si>
  <si>
    <t>Gebäude 3</t>
  </si>
  <si>
    <t>Nb. Postes salles info</t>
  </si>
  <si>
    <t>Étage 1</t>
  </si>
  <si>
    <t>Étage 2</t>
  </si>
  <si>
    <t>Étage 3</t>
  </si>
  <si>
    <t>Étage 4</t>
  </si>
  <si>
    <t>Étage 5</t>
  </si>
  <si>
    <t>Gebäude 4</t>
  </si>
  <si>
    <t>Gebäude 5</t>
  </si>
  <si>
    <t>Nb salles classe</t>
  </si>
  <si>
    <t>Nb étages</t>
  </si>
  <si>
    <t>Bât. Source internet</t>
  </si>
  <si>
    <t>Nb bât</t>
  </si>
  <si>
    <t>Renouvell.</t>
  </si>
  <si>
    <t>Initial</t>
  </si>
  <si>
    <t>Connexions</t>
  </si>
  <si>
    <t>Swtiches</t>
  </si>
  <si>
    <t>Armoires réseau</t>
  </si>
  <si>
    <t>WiFi</t>
  </si>
  <si>
    <t>B1</t>
  </si>
  <si>
    <t>Coût total</t>
  </si>
  <si>
    <t>B2</t>
  </si>
  <si>
    <t>B3</t>
  </si>
  <si>
    <t>B4</t>
  </si>
  <si>
    <t>B5</t>
  </si>
  <si>
    <t>RECHNER FÜR DEN DIGITALEN BEDARF
2. Kostenschätzung der technischen Infrastruktur</t>
  </si>
  <si>
    <r>
      <rPr>
        <sz val="11"/>
        <color theme="0" tint="-0.499984740745262"/>
        <rFont val="Webdings"/>
        <family val="1"/>
        <charset val="2"/>
      </rPr>
      <t>i</t>
    </r>
    <r>
      <rPr>
        <sz val="11"/>
        <color theme="0" tint="-0.499984740745262"/>
        <rFont val="Calibri"/>
        <family val="2"/>
      </rPr>
      <t xml:space="preserve"> Umfang und Berechnungsdetails werden in der Registerkarte </t>
    </r>
    <r>
      <rPr>
        <b/>
        <sz val="11"/>
        <color theme="0" tint="-0.499984740745262"/>
        <rFont val="Calibri"/>
        <family val="2"/>
      </rPr>
      <t>Beschreibung</t>
    </r>
    <r>
      <rPr>
        <sz val="11"/>
        <color theme="0" tint="-0.499984740745262"/>
        <rFont val="Calibri"/>
        <family val="2"/>
      </rPr>
      <t xml:space="preserve"> dargestellt</t>
    </r>
  </si>
  <si>
    <t>Anzahl der Gebäude</t>
  </si>
  <si>
    <t>Anz. der Internetzugänge</t>
  </si>
  <si>
    <t>Anzahl der kumulierten Stockwerke</t>
  </si>
  <si>
    <t>Geschätzte Anz. Switches</t>
  </si>
  <si>
    <t>Anz. Normal. und speziellen Klassenzimmer</t>
  </si>
  <si>
    <t>Geschätzte Anz. WLAN-Antennen</t>
  </si>
  <si>
    <t>BEZEICHNUNG DES MATERIALS / DER INFRASTRUKTUR</t>
  </si>
  <si>
    <t>Bestehende zu erhalten</t>
  </si>
  <si>
    <t>Fehlend zu erneuern</t>
  </si>
  <si>
    <t>Jährliche Kosten pro Einheit</t>
  </si>
  <si>
    <t>Einmalige Kosten pro Einheit</t>
  </si>
  <si>
    <t>Jährliche Kosten</t>
  </si>
  <si>
    <t>Einmalige Kosten Jahr 0</t>
  </si>
  <si>
    <t>Einmalige Kosten Jahr 7</t>
  </si>
  <si>
    <t>VERBINDUNG / NETZWERK</t>
  </si>
  <si>
    <t>Internetverbindung Schule (Kostenbasis SAI SBCON, jährlich)</t>
  </si>
  <si>
    <t>-</t>
  </si>
  <si>
    <t>Sicherheit und Filterung in der „Cloud“ (SAI SBCON Managed Security Basis, jährlich)</t>
  </si>
  <si>
    <t>Firewall-Router (inkl. Installation)</t>
  </si>
  <si>
    <t>Etagen- und Gebäudeswitches (einzelnes Modell mit 24 Ports)</t>
  </si>
  <si>
    <t>Netzwerkschränke (Switch)</t>
  </si>
  <si>
    <t>Wartungsvertrag für das Netzwerk (jährlich)</t>
  </si>
  <si>
    <t>WLAN Access Points + Installationskosten</t>
  </si>
  <si>
    <t>Steuerungen + Lizenzen für die Verwaltung von WLAN-Antennen (jährlich)</t>
  </si>
  <si>
    <t>Netzwerkdosen und Verkabelung Kat. 6A (Richtwert für die durchschnittliche Kosten)</t>
  </si>
  <si>
    <t>PERIPHERIEGERÄTE / MULTIMEDIA (ohne Wartung)</t>
  </si>
  <si>
    <t>Projektions- und Audiosystem (inkl. Inbetriebnahme)</t>
  </si>
  <si>
    <t>Soundbar</t>
  </si>
  <si>
    <t>Dokumentenkamera</t>
  </si>
  <si>
    <t>System zur gemeinsamen Nutzung des Bildschirms</t>
  </si>
  <si>
    <t>Docking für den Anschluss von Lehrergeräten</t>
  </si>
  <si>
    <t>Kabel und Kleinmaterial</t>
  </si>
  <si>
    <t>Kopfhörer für Schüler</t>
  </si>
  <si>
    <t>Aufbewahrungs- (Wagen) und Ladesystem</t>
  </si>
  <si>
    <t>var.</t>
  </si>
  <si>
    <t>ZUSAMMENFASSUNG DER GESCHÄTZTEN KOSTEN</t>
  </si>
  <si>
    <t>Insgesamt</t>
  </si>
  <si>
    <t>Pro Schüler*</t>
  </si>
  <si>
    <t>* Der Begriff "Schüler" umfasst die physischen Schülerinnen und Schüler der obligatorischen Schule</t>
  </si>
  <si>
    <t>Ausstattung / Infrastruktur - Einmalige Anfangskosten (Jahr 0)</t>
  </si>
  <si>
    <t>Ausstattung / Infrastruktur - Einmalige Erneuerungskosten (alle 7 Jahre)</t>
  </si>
  <si>
    <t>Ausstattung / Infrastruktur - Jährliche Kosten</t>
  </si>
  <si>
    <t>pro Jahr zu zahlen</t>
  </si>
  <si>
    <t>Jahr 0</t>
  </si>
  <si>
    <t>Jahr 1</t>
  </si>
  <si>
    <t>Jahr 2</t>
  </si>
  <si>
    <t>Jahr 3</t>
  </si>
  <si>
    <t>Jahr 4</t>
  </si>
  <si>
    <t>Jahr 5</t>
  </si>
  <si>
    <t>Jahr 6</t>
  </si>
  <si>
    <t>Jahr 7</t>
  </si>
  <si>
    <t>Wartung
+ anfänglich</t>
  </si>
  <si>
    <t>Wartung</t>
  </si>
  <si>
    <t>Wartung + Erneuerung</t>
  </si>
  <si>
    <t>Einmalige Kosten</t>
  </si>
  <si>
    <t>Gesamtkosten pro Jahr</t>
  </si>
  <si>
    <t>Chiffres au 11.8.2021 (révision 22.08.2024)</t>
  </si>
  <si>
    <t>Annuels</t>
  </si>
  <si>
    <t>Unique</t>
  </si>
  <si>
    <t>Remarques (anciennes)</t>
  </si>
  <si>
    <t>Remarques TP 2024</t>
  </si>
  <si>
    <t>Réseau</t>
  </si>
  <si>
    <t>Connexion Internet école</t>
  </si>
  <si>
    <t xml:space="preserve">SBC swisscom mise en service (500.-/1000.-) </t>
  </si>
  <si>
    <t>Offre Swisscom SAI : coût mensuel 0 CHF
+ coût mensuel d'interconnexion (BNS) si plusieurs bâtiment sur connexion distinctes
+ frais d'installation par partenaire Swisscom</t>
  </si>
  <si>
    <t>Filtrage et sécurité (30 CHF/mois)</t>
  </si>
  <si>
    <t>SBC swisscom sécurité (30.-/mois) (calcul sur la base du module "managed security" de SAI)</t>
  </si>
  <si>
    <t>SAI : normal 30 Frs pour site principal
+ installation par partenaire Swisscom</t>
  </si>
  <si>
    <t>Firewall/routeur interne</t>
  </si>
  <si>
    <t>Acheter Appliance SonicWall TZ370 (02-SSC-2825) (bechtle.com)</t>
  </si>
  <si>
    <t>Switch d'étage (12 ports) y.c. install et config (renouv. tous les 7 ans)</t>
  </si>
  <si>
    <t>1 port/antenne + 1 port/monitoring</t>
  </si>
  <si>
    <t>HPE Aruba 6100 12p POE L2 SFP+  750 CHF</t>
  </si>
  <si>
    <t>Switch d'étage (24 ports) (renouvellement tous les 7 ans)</t>
  </si>
  <si>
    <t>HPE Aruba 6100 24p POE L2 SFP+  1500 CHF</t>
  </si>
  <si>
    <t>Switch d'étage (48 ports) (renouvellement tous les 7 ans)</t>
  </si>
  <si>
    <t>HPE Aruba 6100 48p POE L2 SFP+  3000 CHF</t>
  </si>
  <si>
    <t>Coût d'installation switch</t>
  </si>
  <si>
    <t>GPT : 200-700€ pour install + 300-800€ pour config; choix : 4h à 150 Frs</t>
  </si>
  <si>
    <t>Armoires par switch (pose inclus)</t>
  </si>
  <si>
    <t>Distrelec : 220 pour 6U</t>
  </si>
  <si>
    <t>Contrat de maintenance réseau</t>
  </si>
  <si>
    <t>évaluation par étage cumulé</t>
  </si>
  <si>
    <t>GPT : 10-20% du coût des switch</t>
  </si>
  <si>
    <t>Antenne  WiFi</t>
  </si>
  <si>
    <t>1 antenne WiFi/salle de classe, prix moyen SITel</t>
  </si>
  <si>
    <t>Selon GPT coût achat entre 300 et 700€ et installation entre 100 et 300€</t>
  </si>
  <si>
    <t>Controlleurs WiFi+licences pour gestion de antennes</t>
  </si>
  <si>
    <t>(cantonalisation : 100k pour un système centralisé)</t>
  </si>
  <si>
    <t>GPT: entre 100 et 300€ par an par AP, Bard : entre 50 et 200€</t>
  </si>
  <si>
    <t>1 Câble cat. 6A (tirage)</t>
  </si>
  <si>
    <t>Système de rangement (chariot) et de charge</t>
  </si>
  <si>
    <t>à réévaluer; C3 : pas besoin parce que chargement personnel ?</t>
  </si>
  <si>
    <r>
      <t xml:space="preserve">Electricité </t>
    </r>
    <r>
      <rPr>
        <sz val="11"/>
        <color theme="1"/>
        <rFont val="Calibri"/>
        <family val="2"/>
        <scheme val="minor"/>
      </rPr>
      <t>(sans la consommation ni maintenance)</t>
    </r>
  </si>
  <si>
    <t>Investissement unique prises électriques</t>
  </si>
  <si>
    <t>2 prises</t>
  </si>
  <si>
    <t>Fusibles (cablage)</t>
  </si>
  <si>
    <t>2500W/fusible</t>
  </si>
  <si>
    <t>Tirage de câble (prix/m dans tuyaux existants)</t>
  </si>
  <si>
    <r>
      <t xml:space="preserve">Multimédia </t>
    </r>
    <r>
      <rPr>
        <sz val="11"/>
        <color theme="1"/>
        <rFont val="Calibri"/>
        <family val="2"/>
        <scheme val="minor"/>
      </rPr>
      <t>(sans la maintenance)</t>
    </r>
  </si>
  <si>
    <t>Système de projection (incl. Mise en service)</t>
  </si>
  <si>
    <t>Coût moyen entre écrans et beamer (AOP S2 : 2860.- + 380.- montage compris)</t>
  </si>
  <si>
    <t>Système audio (barre son active) --&gt; Bluetooth</t>
  </si>
  <si>
    <t>Sound Bar Neets SB1, Barre de son Crestron SAROS SB-200-P active 2x, 20W - 400.- selon contrat-cadre S2</t>
  </si>
  <si>
    <t>Caméra de document</t>
  </si>
  <si>
    <t>Prix ELMO L-12W</t>
  </si>
  <si>
    <t>Système de partage d'écran</t>
  </si>
  <si>
    <t>AirPlay + Miracast</t>
  </si>
  <si>
    <t>EZCast PB10</t>
  </si>
  <si>
    <t>Docking USB de table</t>
  </si>
  <si>
    <t>Votre résultat de recherche pour « docking  » (bechtle.com)</t>
  </si>
  <si>
    <t>Câbles et petit matériel, docking</t>
  </si>
  <si>
    <t>Caméra et micro pour enseignement à distance</t>
  </si>
  <si>
    <t>Prix du Owl</t>
  </si>
  <si>
    <t>Ecouteurs pour élèves Jack 3.5mm</t>
  </si>
  <si>
    <t>Acheter Micro-casque PC bureau Hama HS-P100 (00139900) (bechtle.com)</t>
  </si>
  <si>
    <t>Ecouteurs pour élèves USB-C</t>
  </si>
  <si>
    <t>Acheter Casque Kensington USB C HiFi (K97457WW) (bechtle.com)</t>
  </si>
  <si>
    <t>Système d'impression</t>
  </si>
  <si>
    <t>Offre A</t>
  </si>
  <si>
    <t>Offre B</t>
  </si>
  <si>
    <t>Moyenne</t>
  </si>
  <si>
    <t>Imprimante/Photocopieuse/Scanneuse + OCR</t>
  </si>
  <si>
    <t>Une imprimante par étage, … (selon estimation Appel d'offres des CO de Marly)</t>
  </si>
  <si>
    <t>Personnel, lien avec les entreprises prestataires + support niveau 0 (support de proximité)</t>
  </si>
  <si>
    <t>Correspondant informatique infrastructures (UNIQUEMENT)</t>
  </si>
  <si>
    <t>2.38 EPT = 1 h/mois par bâtiment, 80.-*12 (exclu la mise en place)</t>
  </si>
  <si>
    <t>Nb moy/max élèves par classe (réf. dossier rentrée 23-24)</t>
  </si>
  <si>
    <t>CO déterm. élèves par classe prenant compte de répartition par type</t>
  </si>
  <si>
    <t>EB</t>
  </si>
  <si>
    <t>G</t>
  </si>
  <si>
    <t>PG</t>
  </si>
  <si>
    <t>Elève par type (powerbi)</t>
  </si>
  <si>
    <t>Répart selon type</t>
  </si>
  <si>
    <t>Moy. cantonale élèves par classe considérant répart. par type (réf dossier rentrée 23-24)</t>
  </si>
  <si>
    <t>Max. élèves par classe selon type</t>
  </si>
  <si>
    <t>Année de programme</t>
  </si>
  <si>
    <t>NB de classes</t>
  </si>
  <si>
    <t>NB élèves physiques</t>
  </si>
  <si>
    <t>élève_par_classe</t>
  </si>
  <si>
    <t>Répart. Utilisation simultanée des app par profil d'utilisateur</t>
  </si>
  <si>
    <t>Profil élève 
1-8H</t>
  </si>
  <si>
    <t>Profil élève 
9-11H</t>
  </si>
  <si>
    <t>Profil élève 
Salle info</t>
  </si>
  <si>
    <t>Profil enseign. en classe</t>
  </si>
  <si>
    <t>Autres utilisateurs</t>
  </si>
  <si>
    <t>Vidéo Youtube 4K</t>
  </si>
  <si>
    <t>Vidéo Youtube FHD</t>
  </si>
  <si>
    <t>Office</t>
  </si>
  <si>
    <t>Teams</t>
  </si>
  <si>
    <t>Systèmes de rangement</t>
  </si>
  <si>
    <t>Prix</t>
  </si>
  <si>
    <t>Exemple</t>
  </si>
  <si>
    <t>Chariot pour notebook - acheter sur digitec</t>
  </si>
  <si>
    <t>Laptopwagen 14 Geräte</t>
  </si>
  <si>
    <t>Charging Trolley for 14 Laptops (CH) | DICOTA</t>
  </si>
  <si>
    <t>Laptopwagen 16 Geräte</t>
  </si>
  <si>
    <t>Charging Trolley for 20 Tablets or Ultrabooks (CH) | DICOTA</t>
  </si>
  <si>
    <t>Tablet-Laptopschrank 16 Geräte</t>
  </si>
  <si>
    <t>Acheter Compulocks CartiPad SOLO 16 appareils (SOLO-EU)</t>
  </si>
  <si>
    <t>Tablettkoffer 14 Geräte</t>
  </si>
  <si>
    <t>Acheter Chariot charge DICOTA 14 tablettes Plus (D31898-V1) (bechtle.com)</t>
  </si>
  <si>
    <t>Andere</t>
  </si>
  <si>
    <t>Utilisations bande passante par application [Mbits/s]</t>
  </si>
  <si>
    <t>IN Min.</t>
  </si>
  <si>
    <t>IN Recom.</t>
  </si>
  <si>
    <t>OUT min</t>
  </si>
  <si>
    <t>OUT rec</t>
  </si>
  <si>
    <t>Débit calculé par profil d'utilisateur</t>
  </si>
  <si>
    <t>OUT recom.</t>
  </si>
  <si>
    <t>Elèves 1-8H</t>
  </si>
  <si>
    <t>Elèves 9-11H</t>
  </si>
  <si>
    <t>Elèves salle info</t>
  </si>
  <si>
    <t>Enseignants</t>
  </si>
  <si>
    <t>Autres</t>
  </si>
  <si>
    <t>Raccordement internet</t>
  </si>
  <si>
    <t>Gebäude. 2</t>
  </si>
  <si>
    <t>Gebäude. 3</t>
  </si>
  <si>
    <t>Gebäude. 4</t>
  </si>
  <si>
    <t>Gebäude. 5</t>
  </si>
  <si>
    <t>QUESTIONS</t>
  </si>
  <si>
    <t>Périphériques multimédia : pertinence de maintenir ici ? (cohérence avec le concept général)</t>
  </si>
  <si>
    <t xml:space="preserve">Re: </t>
  </si>
  <si>
    <t>oui =&gt; m-à-j recommandations Fritic</t>
  </si>
  <si>
    <t>Supprimer systèmes d'impressions ?</t>
  </si>
  <si>
    <t>Re:</t>
  </si>
  <si>
    <t>Ecouteurs à dispo pour les élèves (en classe / en salle d'info)</t>
  </si>
  <si>
    <t>Valider profils utilisateurs</t>
  </si>
  <si>
    <t>TODO</t>
  </si>
  <si>
    <t>Macro : imprime en PDF, ouvre un mail avec notre adresse et le PDF en pce jointe</t>
  </si>
  <si>
    <t>Systèmes de rangement : revoir calcul coût selon modèles choisis</t>
  </si>
  <si>
    <t>Systèmes de rangement : finaliser liste et prix</t>
  </si>
  <si>
    <t>Salles ACM : Investiguer pertinence (raison historique ?)</t>
  </si>
  <si>
    <t>Fusionner système de projection et système audio</t>
  </si>
  <si>
    <t>MÉMO</t>
  </si>
  <si>
    <t>Emplacement de recharge par classe</t>
  </si>
  <si>
    <r>
      <t xml:space="preserve">Dieser </t>
    </r>
    <r>
      <rPr>
        <b/>
        <sz val="10"/>
        <rFont val="Calibri"/>
        <family val="2"/>
        <scheme val="minor"/>
      </rPr>
      <t>Rechner für den digitalen Bedarf</t>
    </r>
    <r>
      <rPr>
        <sz val="10"/>
        <rFont val="Calibri"/>
        <family val="2"/>
        <scheme val="minor"/>
      </rPr>
      <t xml:space="preserve"> hat zwei Ziele:
1- Den Schulen dabei helfen, </t>
    </r>
    <r>
      <rPr>
        <b/>
        <sz val="10"/>
        <rFont val="Calibri"/>
        <family val="2"/>
        <scheme val="minor"/>
      </rPr>
      <t>ihren Bedarf an digitaler Ausstattung einzuschätzen</t>
    </r>
    <r>
      <rPr>
        <sz val="10"/>
        <rFont val="Calibri"/>
        <family val="2"/>
        <scheme val="minor"/>
      </rPr>
      <t>, um die pädagogischen Ziele unter Berücksichtigung</t>
    </r>
    <r>
      <rPr>
        <sz val="10"/>
        <color rgb="FFFF0000"/>
        <rFont val="Calibri"/>
        <family val="2"/>
        <scheme val="minor"/>
      </rPr>
      <t xml:space="preserve"> </t>
    </r>
    <r>
      <rPr>
        <sz val="10"/>
        <rFont val="Calibri (Textkörper)"/>
      </rPr>
      <t>der empfohlenen Dotationen</t>
    </r>
    <r>
      <rPr>
        <sz val="10"/>
        <rFont val="Calibri"/>
        <family val="2"/>
        <scheme val="minor"/>
      </rPr>
      <t xml:space="preserve"> bestmöglich zu erfüllen;
2- Den Gemeinden soll geholfen werden, </t>
    </r>
    <r>
      <rPr>
        <b/>
        <sz val="10"/>
        <rFont val="Calibri"/>
        <family val="2"/>
        <scheme val="minor"/>
      </rPr>
      <t>die Investitions- und Wartungskosten für die IT-Infrastruktur in den Schulgebäuden einzuschätzen</t>
    </r>
    <r>
      <rPr>
        <sz val="10"/>
        <rFont val="Calibri"/>
        <family val="2"/>
        <scheme val="minor"/>
      </rPr>
      <t xml:space="preserve">, um die vom Kanton Freiburg festgelegten Standards zu erfüllen. 
</t>
    </r>
    <r>
      <rPr>
        <sz val="10"/>
        <rFont val="Webdings"/>
        <family val="1"/>
        <charset val="2"/>
      </rPr>
      <t>i</t>
    </r>
    <r>
      <rPr>
        <sz val="10"/>
        <rFont val="Calibri"/>
        <family val="2"/>
      </rPr>
      <t xml:space="preserve"> </t>
    </r>
    <r>
      <rPr>
        <sz val="10"/>
        <rFont val="Calibri"/>
        <family val="2"/>
        <scheme val="minor"/>
      </rPr>
      <t>Die Gesamtsumme der jährlichen und einmaligen Kosten gibt der Gemeinde eine Einschätzung ohne Garantie.</t>
    </r>
  </si>
  <si>
    <r>
      <t xml:space="preserve">Um das Formular </t>
    </r>
    <r>
      <rPr>
        <i/>
        <sz val="10"/>
        <color theme="1"/>
        <rFont val="Calibri"/>
        <family val="2"/>
        <scheme val="minor"/>
      </rPr>
      <t>1. Logistische und organisatorische Daten</t>
    </r>
    <r>
      <rPr>
        <sz val="10"/>
        <color theme="1"/>
        <rFont val="Calibri"/>
        <family val="2"/>
        <scheme val="minor"/>
      </rPr>
      <t xml:space="preserve"> auszufüllen, klicken Sie auf die Schaltfläche „</t>
    </r>
    <r>
      <rPr>
        <i/>
        <sz val="10"/>
        <color theme="1"/>
        <rFont val="Calibri"/>
        <family val="2"/>
        <scheme val="minor"/>
      </rPr>
      <t>Zu 1. Logistische und organisatorische Daten</t>
    </r>
    <r>
      <rPr>
        <sz val="10"/>
        <color theme="1"/>
        <rFont val="Calibri"/>
        <family val="2"/>
        <scheme val="minor"/>
      </rPr>
      <t xml:space="preserve">“ oben rechts.
Dieses Formular dient dazu, </t>
    </r>
    <r>
      <rPr>
        <b/>
        <sz val="10"/>
        <color theme="1"/>
        <rFont val="Calibri"/>
        <family val="2"/>
        <scheme val="minor"/>
      </rPr>
      <t>den Bedarf an IT-Ausstattung im weitesten Sinne zu ermitteln</t>
    </r>
    <r>
      <rPr>
        <sz val="10"/>
        <color theme="1"/>
        <rFont val="Calibri"/>
        <family val="2"/>
        <scheme val="minor"/>
      </rPr>
      <t xml:space="preserve">, abhängig von der Struktur und Organisation der Schule, unabhängig davon, ob die Schule bereits mit IT ausgestattet ist oder nicht:
</t>
    </r>
    <r>
      <rPr>
        <sz val="10"/>
        <color rgb="FF1FB7C6"/>
        <rFont val="Calibri"/>
        <family val="2"/>
        <scheme val="minor"/>
      </rPr>
      <t xml:space="preserve">• </t>
    </r>
    <r>
      <rPr>
        <sz val="10"/>
        <color theme="1"/>
        <rFont val="Calibri"/>
        <family val="2"/>
        <scheme val="minor"/>
      </rPr>
      <t xml:space="preserve">Die Anzahl der Computer/Tablets, entsprechend </t>
    </r>
    <r>
      <rPr>
        <sz val="10"/>
        <rFont val="Calibri (Textkörper)"/>
      </rPr>
      <t xml:space="preserve">der empfohlenen Dotationen </t>
    </r>
    <r>
      <rPr>
        <sz val="10"/>
        <color theme="1"/>
        <rFont val="Calibri"/>
        <family val="2"/>
        <scheme val="minor"/>
      </rPr>
      <t xml:space="preserve">- oder angepasst an die Bedürfnisse der Schule.
</t>
    </r>
    <r>
      <rPr>
        <sz val="10"/>
        <color rgb="FF1FB7C6"/>
        <rFont val="Calibri"/>
        <family val="2"/>
        <scheme val="minor"/>
      </rPr>
      <t xml:space="preserve">• </t>
    </r>
    <r>
      <rPr>
        <sz val="10"/>
        <color theme="1"/>
        <rFont val="Calibri"/>
        <family val="2"/>
        <scheme val="minor"/>
      </rPr>
      <t xml:space="preserve">Die Anzahl der Switches (oder Netzwerk-Switches) und WiFi Access Points, um die Geräte und Peripheriegeräte mit dem Netzwerk zu verbinden.
</t>
    </r>
    <r>
      <rPr>
        <sz val="10"/>
        <color rgb="FF1FB7C6"/>
        <rFont val="Calibri"/>
        <family val="2"/>
        <scheme val="minor"/>
      </rPr>
      <t xml:space="preserve">• </t>
    </r>
    <r>
      <rPr>
        <sz val="10"/>
        <color theme="1"/>
        <rFont val="Calibri"/>
        <family val="2"/>
        <scheme val="minor"/>
      </rPr>
      <t xml:space="preserve">Internet-Bandbreite, die für den Betrieb aller Geräte in der Schule / im Gebäude erforderlich ist.
</t>
    </r>
    <r>
      <rPr>
        <sz val="10"/>
        <color rgb="FF1FB7C6"/>
        <rFont val="Calibri"/>
        <family val="2"/>
        <scheme val="minor"/>
      </rPr>
      <t xml:space="preserve">• </t>
    </r>
    <r>
      <rPr>
        <sz val="10"/>
        <color theme="1"/>
        <rFont val="Calibri"/>
        <family val="2"/>
        <scheme val="minor"/>
      </rPr>
      <t>Aufbewahrungssysteme für die benötigten Computer / Tablets</t>
    </r>
  </si>
  <si>
    <t>Ausstattung mit digitaler Ausrüstung pro Schulstufe</t>
  </si>
  <si>
    <t>Dotation der Schule</t>
  </si>
  <si>
    <t>Mindestempfehlung</t>
  </si>
  <si>
    <t>Anz. Ausstattung Schüler/innen gem. Mindestempfehlung</t>
  </si>
  <si>
    <t>Höchstempfehlung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</si>
</sst>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CHF&quot;_-;\-* #,##0.00\ &quot;CHF&quot;_-;_-* &quot;-&quot;??\ &quot;CHF&quot;_-;_-@_-"/>
    <numFmt numFmtId="165" formatCode="_-* #,##0.00_-;\-* #,##0.00_-;_-* &quot;-&quot;??_-;_-@_-"/>
    <numFmt numFmtId="166" formatCode="_-* #,##0_-;\-* #,##0_-;_-* &quot;-&quot;??_-;_-@_-"/>
    <numFmt numFmtId="167" formatCode="##0&quot; bâtiment(s)&quot;"/>
    <numFmt numFmtId="168" formatCode="0.0"/>
    <numFmt numFmtId="169" formatCode="0.000"/>
    <numFmt numFmtId="170" formatCode="_ &quot;CHF&quot;\ * #,##0_ ;_ &quot;CHF&quot;\ * \-#,##0_ ;_ &quot;CHF&quot;\ * &quot;-&quot;??_ ;_ @_ "/>
  </numFmts>
  <fonts count="62" x14ac:knownFonts="1">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theme="0"/>
      <name val="Calibri"/>
      <family val="2"/>
      <scheme val="minor"/>
    </font>
    <font>
      <sz val="15"/>
      <color theme="0"/>
      <name val="Calibri (Corps)"/>
    </font>
    <font>
      <sz val="14"/>
      <color theme="0"/>
      <name val="Calibri"/>
      <family val="2"/>
      <scheme val="minor"/>
    </font>
    <font>
      <sz val="11"/>
      <color theme="0"/>
      <name val="Calibri (Corps)"/>
    </font>
    <font>
      <b/>
      <sz val="11"/>
      <color theme="0"/>
      <name val="Calibri"/>
      <family val="2"/>
      <scheme val="minor"/>
    </font>
    <font>
      <sz val="11"/>
      <name val="Calibri"/>
      <family val="2"/>
      <scheme val="minor"/>
    </font>
    <font>
      <sz val="10"/>
      <color rgb="FF000000"/>
      <name val="Tahoma"/>
      <family val="2"/>
    </font>
    <font>
      <sz val="11"/>
      <color theme="0"/>
      <name val="Calibri"/>
      <family val="2"/>
    </font>
    <font>
      <sz val="11"/>
      <color rgb="FFFFFFFF"/>
      <name val="Calibri"/>
      <family val="2"/>
    </font>
    <font>
      <sz val="8"/>
      <name val="Calibri"/>
      <family val="2"/>
      <scheme val="minor"/>
    </font>
    <font>
      <b/>
      <sz val="10"/>
      <color rgb="FF000000"/>
      <name val="Tahoma"/>
      <family val="2"/>
    </font>
    <font>
      <b/>
      <sz val="14"/>
      <color theme="1"/>
      <name val="Calibri"/>
      <family val="2"/>
      <scheme val="minor"/>
    </font>
    <font>
      <b/>
      <i/>
      <sz val="11"/>
      <color theme="0"/>
      <name val="Calibri"/>
      <family val="2"/>
      <scheme val="minor"/>
    </font>
    <font>
      <sz val="11"/>
      <color rgb="FF0070C0"/>
      <name val="Calibri"/>
      <family val="2"/>
      <scheme val="minor"/>
    </font>
    <font>
      <i/>
      <sz val="11"/>
      <color rgb="FF0070C0"/>
      <name val="Calibri"/>
      <family val="2"/>
      <scheme val="minor"/>
    </font>
    <font>
      <sz val="10"/>
      <color theme="1"/>
      <name val="Calibri"/>
      <family val="2"/>
      <scheme val="minor"/>
    </font>
    <font>
      <u/>
      <sz val="11"/>
      <color theme="1"/>
      <name val="Calibri"/>
      <family val="2"/>
      <scheme val="minor"/>
    </font>
    <font>
      <b/>
      <sz val="11"/>
      <color rgb="FF0B898F"/>
      <name val="Calibri"/>
      <family val="2"/>
      <scheme val="minor"/>
    </font>
    <font>
      <i/>
      <sz val="10"/>
      <color theme="1"/>
      <name val="Calibri"/>
      <family val="2"/>
      <scheme val="minor"/>
    </font>
    <font>
      <b/>
      <u/>
      <sz val="11"/>
      <color rgb="FF0B898F"/>
      <name val="Calibri"/>
      <family val="2"/>
      <scheme val="minor"/>
    </font>
    <font>
      <sz val="11"/>
      <color theme="3" tint="0.79998168889431442"/>
      <name val="Calibri"/>
      <family val="2"/>
      <scheme val="minor"/>
    </font>
    <font>
      <b/>
      <sz val="10"/>
      <color theme="1"/>
      <name val="Calibri"/>
      <family val="2"/>
      <scheme val="minor"/>
    </font>
    <font>
      <sz val="10"/>
      <color rgb="FF1FB7C6"/>
      <name val="Calibri"/>
      <family val="2"/>
      <scheme val="minor"/>
    </font>
    <font>
      <sz val="10"/>
      <color rgb="FF0070C0"/>
      <name val="Calibri"/>
      <family val="2"/>
      <scheme val="minor"/>
    </font>
    <font>
      <b/>
      <sz val="10"/>
      <color rgb="FF0B898F"/>
      <name val="Calibri"/>
      <family val="2"/>
      <scheme val="minor"/>
    </font>
    <font>
      <sz val="10"/>
      <name val="Calibri"/>
      <family val="2"/>
      <scheme val="minor"/>
    </font>
    <font>
      <sz val="10"/>
      <color rgb="FF1FB7C6"/>
      <name val="Calibri (Corps)"/>
    </font>
    <font>
      <sz val="10"/>
      <color theme="1" tint="0.34998626667073579"/>
      <name val="Calibri"/>
      <family val="2"/>
      <scheme val="minor"/>
    </font>
    <font>
      <b/>
      <sz val="10"/>
      <name val="Calibri"/>
      <family val="2"/>
      <scheme val="minor"/>
    </font>
    <font>
      <sz val="10"/>
      <name val="Webdings"/>
      <family val="1"/>
      <charset val="2"/>
    </font>
    <font>
      <sz val="10"/>
      <name val="Calibri"/>
      <family val="2"/>
    </font>
    <font>
      <sz val="11"/>
      <color theme="0" tint="-0.499984740745262"/>
      <name val="Calibri"/>
      <family val="1"/>
      <charset val="2"/>
    </font>
    <font>
      <sz val="11"/>
      <color theme="0" tint="-0.499984740745262"/>
      <name val="Webdings"/>
      <family val="1"/>
      <charset val="2"/>
    </font>
    <font>
      <sz val="11"/>
      <color theme="0" tint="-0.499984740745262"/>
      <name val="Calibri"/>
      <family val="2"/>
    </font>
    <font>
      <sz val="11"/>
      <color theme="0" tint="-0.499984740745262"/>
      <name val="Calibri"/>
      <family val="2"/>
      <scheme val="minor"/>
    </font>
    <font>
      <sz val="14"/>
      <name val="Calibri"/>
      <family val="2"/>
      <scheme val="minor"/>
    </font>
    <font>
      <b/>
      <i/>
      <sz val="14"/>
      <color theme="0"/>
      <name val="Calibri"/>
      <family val="2"/>
      <scheme val="minor"/>
    </font>
    <font>
      <b/>
      <sz val="14"/>
      <color theme="0"/>
      <name val="Calibri"/>
      <family val="2"/>
      <scheme val="minor"/>
    </font>
    <font>
      <sz val="11"/>
      <color theme="1" tint="0.499984740745262"/>
      <name val="Calibri"/>
      <family val="2"/>
      <scheme val="minor"/>
    </font>
    <font>
      <sz val="10"/>
      <color rgb="FF000000"/>
      <name val="Calibri"/>
      <family val="2"/>
    </font>
    <font>
      <strike/>
      <sz val="11"/>
      <color theme="1"/>
      <name val="Calibri"/>
      <family val="2"/>
      <scheme val="minor"/>
    </font>
    <font>
      <u/>
      <sz val="10"/>
      <name val="Calibri"/>
      <family val="2"/>
      <scheme val="minor"/>
    </font>
    <font>
      <sz val="12"/>
      <name val="Calibri"/>
      <family val="2"/>
    </font>
    <font>
      <sz val="12"/>
      <color theme="0"/>
      <name val="Calibri"/>
      <family val="2"/>
      <scheme val="minor"/>
    </font>
    <font>
      <sz val="15"/>
      <name val="Calibri (Corps)"/>
    </font>
    <font>
      <b/>
      <sz val="11"/>
      <color theme="2"/>
      <name val="Calibri"/>
      <family val="2"/>
      <scheme val="minor"/>
    </font>
    <font>
      <b/>
      <sz val="11"/>
      <name val="Calibri"/>
      <family val="2"/>
      <scheme val="minor"/>
    </font>
    <font>
      <sz val="14"/>
      <name val="Calibri (Corps)"/>
    </font>
    <font>
      <b/>
      <sz val="11"/>
      <color theme="0" tint="-0.499984740745262"/>
      <name val="Calibri"/>
      <family val="2"/>
    </font>
    <font>
      <sz val="11"/>
      <color theme="2"/>
      <name val="Calibri"/>
      <family val="2"/>
      <scheme val="minor"/>
    </font>
    <font>
      <i/>
      <sz val="10"/>
      <name val="Calibri"/>
      <family val="2"/>
      <scheme val="minor"/>
    </font>
    <font>
      <sz val="15"/>
      <color theme="0"/>
      <name val="Calibri"/>
      <family val="2"/>
      <scheme val="minor"/>
    </font>
    <font>
      <sz val="10"/>
      <color rgb="FFFF0000"/>
      <name val="Calibri"/>
      <family val="2"/>
      <scheme val="minor"/>
    </font>
    <font>
      <sz val="10"/>
      <name val="Calibri (Textkörper)"/>
    </font>
    <font>
      <b/>
      <sz val="12"/>
      <name val="Calibri"/>
      <family val="2"/>
      <scheme val="minor"/>
    </font>
  </fonts>
  <fills count="1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theme="8"/>
      </patternFill>
    </fill>
    <fill>
      <patternFill patternType="solid">
        <fgColor theme="8" tint="0.39997558519241921"/>
        <bgColor indexed="65"/>
      </patternFill>
    </fill>
    <fill>
      <patternFill patternType="solid">
        <fgColor rgb="FF363A42"/>
        <bgColor indexed="64"/>
      </patternFill>
    </fill>
    <fill>
      <patternFill patternType="solid">
        <fgColor rgb="FF1FB7C6"/>
        <bgColor indexed="64"/>
      </patternFill>
    </fill>
    <fill>
      <patternFill patternType="solid">
        <fgColor rgb="FFE7E6E6"/>
        <bgColor indexed="64"/>
      </patternFill>
    </fill>
    <fill>
      <patternFill patternType="solid">
        <fgColor rgb="FFE7FAFC"/>
        <bgColor indexed="64"/>
      </patternFill>
    </fill>
    <fill>
      <patternFill patternType="solid">
        <fgColor rgb="FFE1E3E6"/>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78">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rgb="FF363A42"/>
      </bottom>
      <diagonal/>
    </border>
    <border>
      <left style="thin">
        <color rgb="FF363A42"/>
      </left>
      <right style="thin">
        <color rgb="FF363A42"/>
      </right>
      <top style="thin">
        <color rgb="FF363A42"/>
      </top>
      <bottom/>
      <diagonal/>
    </border>
    <border>
      <left style="thin">
        <color rgb="FF363A42"/>
      </left>
      <right style="thin">
        <color rgb="FF363A42"/>
      </right>
      <top/>
      <bottom style="thin">
        <color rgb="FF363A42"/>
      </bottom>
      <diagonal/>
    </border>
    <border>
      <left/>
      <right style="thin">
        <color rgb="FFFFFF00"/>
      </right>
      <top/>
      <bottom/>
      <diagonal/>
    </border>
    <border>
      <left style="thin">
        <color rgb="FF363A42"/>
      </left>
      <right style="thin">
        <color rgb="FF363A42"/>
      </right>
      <top/>
      <bottom/>
      <diagonal/>
    </border>
    <border>
      <left/>
      <right style="thin">
        <color rgb="FF363A42"/>
      </right>
      <top/>
      <bottom/>
      <diagonal/>
    </border>
    <border>
      <left style="thin">
        <color rgb="FF363A42"/>
      </left>
      <right/>
      <top/>
      <bottom style="thin">
        <color rgb="FF363A42"/>
      </bottom>
      <diagonal/>
    </border>
    <border>
      <left/>
      <right style="thin">
        <color rgb="FF363A42"/>
      </right>
      <top/>
      <bottom style="thin">
        <color rgb="FF363A42"/>
      </bottom>
      <diagonal/>
    </border>
    <border>
      <left style="thin">
        <color rgb="FF363A42"/>
      </left>
      <right/>
      <top style="thin">
        <color rgb="FF363A42"/>
      </top>
      <bottom style="thin">
        <color indexed="64"/>
      </bottom>
      <diagonal/>
    </border>
    <border>
      <left/>
      <right/>
      <top style="thin">
        <color rgb="FF363A42"/>
      </top>
      <bottom style="thin">
        <color indexed="64"/>
      </bottom>
      <diagonal/>
    </border>
    <border>
      <left/>
      <right style="thin">
        <color rgb="FF363A42"/>
      </right>
      <top style="thin">
        <color rgb="FF363A42"/>
      </top>
      <bottom style="thin">
        <color indexed="64"/>
      </bottom>
      <diagonal/>
    </border>
    <border>
      <left style="thin">
        <color rgb="FF363A42"/>
      </left>
      <right/>
      <top style="thin">
        <color rgb="FF363A42"/>
      </top>
      <bottom/>
      <diagonal/>
    </border>
    <border>
      <left/>
      <right/>
      <top style="thin">
        <color rgb="FF363A42"/>
      </top>
      <bottom/>
      <diagonal/>
    </border>
    <border>
      <left/>
      <right style="thin">
        <color rgb="FF363A42"/>
      </right>
      <top style="thin">
        <color rgb="FF363A4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theme="2" tint="-9.9948118533890809E-2"/>
      </right>
      <top style="thin">
        <color theme="0" tint="-0.24994659260841701"/>
      </top>
      <bottom style="thin">
        <color theme="0" tint="-0.24994659260841701"/>
      </bottom>
      <diagonal/>
    </border>
    <border>
      <left style="thin">
        <color theme="2" tint="-9.9948118533890809E-2"/>
      </left>
      <right style="thin">
        <color theme="2" tint="-9.9948118533890809E-2"/>
      </right>
      <top style="thin">
        <color theme="0" tint="-0.24994659260841701"/>
      </top>
      <bottom style="thin">
        <color theme="0" tint="-0.24994659260841701"/>
      </bottom>
      <diagonal/>
    </border>
    <border>
      <left style="thin">
        <color indexed="64"/>
      </left>
      <right style="thin">
        <color theme="2" tint="-9.9948118533890809E-2"/>
      </right>
      <top style="thin">
        <color theme="0" tint="-0.24994659260841701"/>
      </top>
      <bottom style="thin">
        <color indexed="64"/>
      </bottom>
      <diagonal/>
    </border>
    <border>
      <left style="thin">
        <color theme="2" tint="-9.9948118533890809E-2"/>
      </left>
      <right style="thin">
        <color theme="2" tint="-9.9948118533890809E-2"/>
      </right>
      <top style="thin">
        <color theme="0" tint="-0.24994659260841701"/>
      </top>
      <bottom style="thin">
        <color indexed="64"/>
      </bottom>
      <diagonal/>
    </border>
    <border>
      <left style="thin">
        <color rgb="FF363A42"/>
      </left>
      <right style="thin">
        <color rgb="FF363A42"/>
      </right>
      <top style="thin">
        <color theme="2" tint="-9.9948118533890809E-2"/>
      </top>
      <bottom style="thin">
        <color theme="2" tint="-9.9948118533890809E-2"/>
      </bottom>
      <diagonal/>
    </border>
    <border>
      <left style="thin">
        <color rgb="FF363A42"/>
      </left>
      <right style="thin">
        <color rgb="FF363A42"/>
      </right>
      <top style="thin">
        <color theme="2" tint="-9.9948118533890809E-2"/>
      </top>
      <bottom style="thin">
        <color indexed="64"/>
      </bottom>
      <diagonal/>
    </border>
    <border>
      <left/>
      <right style="thin">
        <color indexed="64"/>
      </right>
      <top/>
      <bottom/>
      <diagonal/>
    </border>
    <border>
      <left style="thin">
        <color theme="2" tint="-9.9948118533890809E-2"/>
      </left>
      <right/>
      <top style="thin">
        <color theme="0" tint="-0.24994659260841701"/>
      </top>
      <bottom style="thin">
        <color theme="0" tint="-0.24994659260841701"/>
      </bottom>
      <diagonal/>
    </border>
    <border>
      <left style="thin">
        <color theme="2" tint="-9.9948118533890809E-2"/>
      </left>
      <right/>
      <top style="thin">
        <color theme="0" tint="-0.24994659260841701"/>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2" tint="-9.9948118533890809E-2"/>
      </right>
      <top style="thin">
        <color indexed="64"/>
      </top>
      <bottom style="thin">
        <color theme="2" tint="-9.9948118533890809E-2"/>
      </bottom>
      <diagonal/>
    </border>
    <border>
      <left style="thin">
        <color theme="2" tint="-9.9948118533890809E-2"/>
      </left>
      <right style="thin">
        <color theme="2" tint="-9.9948118533890809E-2"/>
      </right>
      <top style="thin">
        <color indexed="64"/>
      </top>
      <bottom style="thin">
        <color theme="2" tint="-9.9948118533890809E-2"/>
      </bottom>
      <diagonal/>
    </border>
    <border>
      <left style="thin">
        <color indexed="64"/>
      </left>
      <right style="thin">
        <color theme="2" tint="-9.9948118533890809E-2"/>
      </right>
      <top style="thin">
        <color theme="2" tint="-9.9948118533890809E-2"/>
      </top>
      <bottom style="thin">
        <color indexed="64"/>
      </bottom>
      <diagonal/>
    </border>
    <border>
      <left style="thin">
        <color theme="2" tint="-9.9948118533890809E-2"/>
      </left>
      <right style="thin">
        <color theme="2" tint="-9.9948118533890809E-2"/>
      </right>
      <top style="thin">
        <color theme="2" tint="-9.9948118533890809E-2"/>
      </top>
      <bottom style="thin">
        <color indexed="64"/>
      </bottom>
      <diagonal/>
    </border>
    <border>
      <left style="thin">
        <color theme="2" tint="-9.9948118533890809E-2"/>
      </left>
      <right style="thin">
        <color indexed="64"/>
      </right>
      <top style="thin">
        <color theme="2" tint="-9.9948118533890809E-2"/>
      </top>
      <bottom style="thin">
        <color indexed="64"/>
      </bottom>
      <diagonal/>
    </border>
    <border>
      <left style="thin">
        <color indexed="64"/>
      </left>
      <right style="thin">
        <color indexed="64"/>
      </right>
      <top style="thin">
        <color indexed="64"/>
      </top>
      <bottom style="thin">
        <color theme="2" tint="-9.9948118533890809E-2"/>
      </bottom>
      <diagonal/>
    </border>
    <border>
      <left style="thin">
        <color indexed="64"/>
      </left>
      <right style="thin">
        <color indexed="64"/>
      </right>
      <top style="thin">
        <color theme="2" tint="-9.9948118533890809E-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theme="2" tint="-9.9948118533890809E-2"/>
      </bottom>
      <diagonal/>
    </border>
    <border>
      <left/>
      <right style="thin">
        <color indexed="64"/>
      </right>
      <top style="thin">
        <color indexed="64"/>
      </top>
      <bottom style="thin">
        <color theme="2" tint="-9.9948118533890809E-2"/>
      </bottom>
      <diagonal/>
    </border>
    <border>
      <left style="thin">
        <color indexed="64"/>
      </left>
      <right/>
      <top style="thin">
        <color theme="2" tint="-9.9948118533890809E-2"/>
      </top>
      <bottom style="thin">
        <color theme="2" tint="-9.9948118533890809E-2"/>
      </bottom>
      <diagonal/>
    </border>
    <border>
      <left/>
      <right style="thin">
        <color indexed="64"/>
      </right>
      <top style="thin">
        <color theme="2" tint="-9.9948118533890809E-2"/>
      </top>
      <bottom style="thin">
        <color theme="2" tint="-9.9948118533890809E-2"/>
      </bottom>
      <diagonal/>
    </border>
    <border>
      <left style="thin">
        <color indexed="64"/>
      </left>
      <right/>
      <top style="thin">
        <color theme="2" tint="-9.9948118533890809E-2"/>
      </top>
      <bottom style="thin">
        <color indexed="64"/>
      </bottom>
      <diagonal/>
    </border>
    <border>
      <left/>
      <right style="thin">
        <color indexed="64"/>
      </right>
      <top style="thin">
        <color theme="2" tint="-9.9948118533890809E-2"/>
      </top>
      <bottom style="thin">
        <color indexed="64"/>
      </bottom>
      <diagonal/>
    </border>
    <border>
      <left style="thin">
        <color indexed="64"/>
      </left>
      <right style="thin">
        <color indexed="64"/>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top style="thin">
        <color theme="1"/>
      </top>
      <bottom style="thin">
        <color theme="2" tint="-9.9948118533890809E-2"/>
      </bottom>
      <diagonal/>
    </border>
    <border>
      <left/>
      <right style="thin">
        <color theme="1"/>
      </right>
      <top style="thin">
        <color theme="1"/>
      </top>
      <bottom style="thin">
        <color theme="2" tint="-9.9948118533890809E-2"/>
      </bottom>
      <diagonal/>
    </border>
    <border>
      <left style="thin">
        <color theme="2" tint="-9.9948118533890809E-2"/>
      </left>
      <right style="thin">
        <color theme="1"/>
      </right>
      <top style="thin">
        <color theme="2" tint="-9.9948118533890809E-2"/>
      </top>
      <bottom style="thin">
        <color theme="2" tint="-9.9948118533890809E-2"/>
      </bottom>
      <diagonal/>
    </border>
    <border>
      <left style="thin">
        <color theme="2" tint="-9.9948118533890809E-2"/>
      </left>
      <right style="thin">
        <color theme="1"/>
      </right>
      <top style="thin">
        <color theme="2" tint="-9.9948118533890809E-2"/>
      </top>
      <bottom style="thin">
        <color indexed="64"/>
      </bottom>
      <diagonal/>
    </border>
    <border>
      <left style="thin">
        <color indexed="64"/>
      </left>
      <right style="thin">
        <color theme="2" tint="-9.9948118533890809E-2"/>
      </right>
      <top style="thin">
        <color indexed="64"/>
      </top>
      <bottom style="medium">
        <color indexed="64"/>
      </bottom>
      <diagonal/>
    </border>
    <border>
      <left style="thin">
        <color theme="2" tint="-9.9948118533890809E-2"/>
      </left>
      <right style="thin">
        <color theme="2" tint="-9.9948118533890809E-2"/>
      </right>
      <top style="thin">
        <color indexed="64"/>
      </top>
      <bottom style="medium">
        <color indexed="64"/>
      </bottom>
      <diagonal/>
    </border>
    <border>
      <left style="thin">
        <color theme="2" tint="-9.9948118533890809E-2"/>
      </left>
      <right style="thin">
        <color indexed="64"/>
      </right>
      <top style="thin">
        <color indexed="64"/>
      </top>
      <bottom style="medium">
        <color indexed="64"/>
      </bottom>
      <diagonal/>
    </border>
    <border>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indexed="64"/>
      </bottom>
      <diagonal/>
    </border>
    <border>
      <left/>
      <right/>
      <top style="thin">
        <color theme="0" tint="-0.24994659260841701"/>
      </top>
      <bottom style="thin">
        <color theme="0" tint="-0.24994659260841701"/>
      </bottom>
      <diagonal/>
    </border>
    <border>
      <left/>
      <right/>
      <top style="thin">
        <color theme="0" tint="-0.24994659260841701"/>
      </top>
      <bottom style="thin">
        <color indexed="64"/>
      </bottom>
      <diagonal/>
    </border>
    <border>
      <left style="medium">
        <color indexed="64"/>
      </left>
      <right style="thin">
        <color theme="2" tint="-9.9948118533890809E-2"/>
      </right>
      <top style="medium">
        <color indexed="64"/>
      </top>
      <bottom style="medium">
        <color indexed="64"/>
      </bottom>
      <diagonal/>
    </border>
    <border>
      <left style="thin">
        <color theme="2" tint="-9.9948118533890809E-2"/>
      </left>
      <right style="medium">
        <color indexed="64"/>
      </right>
      <top style="medium">
        <color indexed="64"/>
      </top>
      <bottom style="medium">
        <color indexed="64"/>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indexed="64"/>
      </bottom>
      <diagonal/>
    </border>
    <border>
      <left style="thin">
        <color theme="2" tint="-9.9948118533890809E-2"/>
      </left>
      <right/>
      <top style="thin">
        <color indexed="64"/>
      </top>
      <bottom style="medium">
        <color indexed="64"/>
      </bottom>
      <diagonal/>
    </border>
    <border>
      <left style="thin">
        <color rgb="FF363A42"/>
      </left>
      <right style="thin">
        <color rgb="FF363A42"/>
      </right>
      <top style="thin">
        <color indexed="64"/>
      </top>
      <bottom style="thin">
        <color theme="2" tint="-9.9948118533890809E-2"/>
      </bottom>
      <diagonal/>
    </border>
    <border>
      <left/>
      <right style="thin">
        <color indexed="64"/>
      </right>
      <top style="thin">
        <color rgb="FF363A42"/>
      </top>
      <bottom style="thin">
        <color indexed="64"/>
      </bottom>
      <diagonal/>
    </border>
    <border>
      <left style="thin">
        <color indexed="64"/>
      </left>
      <right style="thin">
        <color indexed="64"/>
      </right>
      <top/>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right/>
      <top style="thin">
        <color indexed="64"/>
      </top>
      <bottom style="thin">
        <color theme="2" tint="-9.9948118533890809E-2"/>
      </bottom>
      <diagonal/>
    </border>
    <border>
      <left/>
      <right/>
      <top style="thin">
        <color theme="2" tint="-9.9948118533890809E-2"/>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style="thin">
        <color theme="0" tint="-0.14996795556505021"/>
      </top>
      <bottom/>
      <diagonal/>
    </border>
    <border>
      <left style="thin">
        <color theme="0" tint="-0.14996795556505021"/>
      </left>
      <right style="thin">
        <color indexed="64"/>
      </right>
      <top/>
      <bottom style="thin">
        <color theme="0" tint="-0.14996795556505021"/>
      </bottom>
      <diagonal/>
    </border>
    <border>
      <left style="thin">
        <color indexed="64"/>
      </left>
      <right style="thin">
        <color theme="0" tint="-0.24994659260841701"/>
      </right>
      <top style="thin">
        <color indexed="64"/>
      </top>
      <bottom style="thin">
        <color theme="0"/>
      </bottom>
      <diagonal/>
    </border>
    <border>
      <left style="thin">
        <color rgb="FF363A42"/>
      </left>
      <right/>
      <top style="thin">
        <color indexed="64"/>
      </top>
      <bottom style="thin">
        <color theme="0"/>
      </bottom>
      <diagonal/>
    </border>
    <border>
      <left style="thin">
        <color rgb="FF363A42"/>
      </left>
      <right/>
      <top/>
      <bottom/>
      <diagonal/>
    </border>
    <border>
      <left style="thin">
        <color rgb="FF363A42"/>
      </left>
      <right/>
      <top/>
      <bottom style="thin">
        <color indexed="64"/>
      </bottom>
      <diagonal/>
    </border>
    <border>
      <left/>
      <right style="thin">
        <color rgb="FF363A42"/>
      </right>
      <top/>
      <bottom style="thin">
        <color indexed="64"/>
      </bottom>
      <diagonal/>
    </border>
    <border>
      <left style="thin">
        <color indexed="64"/>
      </left>
      <right style="thin">
        <color rgb="FF363A42"/>
      </right>
      <top/>
      <bottom style="thin">
        <color rgb="FF363A42"/>
      </bottom>
      <diagonal/>
    </border>
    <border>
      <left style="thin">
        <color rgb="FF363A42"/>
      </left>
      <right style="thin">
        <color theme="2" tint="-9.9948118533890809E-2"/>
      </right>
      <top/>
      <bottom style="thin">
        <color theme="2" tint="-9.9948118533890809E-2"/>
      </bottom>
      <diagonal/>
    </border>
    <border>
      <left style="thin">
        <color rgb="FF363A42"/>
      </left>
      <right style="thin">
        <color theme="2" tint="-9.9948118533890809E-2"/>
      </right>
      <top style="thin">
        <color theme="2" tint="-9.9948118533890809E-2"/>
      </top>
      <bottom style="thin">
        <color theme="2" tint="-9.9948118533890809E-2"/>
      </bottom>
      <diagonal/>
    </border>
    <border>
      <left style="thin">
        <color rgb="FF363A42"/>
      </left>
      <right style="thin">
        <color theme="2" tint="-9.9948118533890809E-2"/>
      </right>
      <top style="thin">
        <color theme="2" tint="-9.9948118533890809E-2"/>
      </top>
      <bottom style="thin">
        <color indexed="64"/>
      </bottom>
      <diagonal/>
    </border>
    <border>
      <left style="thin">
        <color indexed="64"/>
      </left>
      <right style="thin">
        <color theme="0" tint="-0.34998626667073579"/>
      </right>
      <top style="thin">
        <color rgb="FF363A42"/>
      </top>
      <bottom style="thin">
        <color theme="0" tint="-0.34998626667073579"/>
      </bottom>
      <diagonal/>
    </border>
    <border>
      <left style="thin">
        <color theme="0" tint="-0.34998626667073579"/>
      </left>
      <right style="thin">
        <color theme="0" tint="-0.34998626667073579"/>
      </right>
      <top style="thin">
        <color rgb="FF363A42"/>
      </top>
      <bottom style="thin">
        <color theme="0" tint="-0.34998626667073579"/>
      </bottom>
      <diagonal/>
    </border>
    <border>
      <left style="thin">
        <color theme="0" tint="-0.34998626667073579"/>
      </left>
      <right style="thin">
        <color rgb="FF363A42"/>
      </right>
      <top style="thin">
        <color rgb="FF363A42"/>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363A42"/>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rgb="FF363A42"/>
      </bottom>
      <diagonal/>
    </border>
    <border>
      <left style="thin">
        <color theme="0" tint="-0.34998626667073579"/>
      </left>
      <right style="thin">
        <color theme="0" tint="-0.34998626667073579"/>
      </right>
      <top style="thin">
        <color theme="0" tint="-0.34998626667073579"/>
      </top>
      <bottom style="thin">
        <color rgb="FF363A42"/>
      </bottom>
      <diagonal/>
    </border>
    <border>
      <left style="thin">
        <color theme="0" tint="-0.34998626667073579"/>
      </left>
      <right style="thin">
        <color rgb="FF363A42"/>
      </right>
      <top style="thin">
        <color theme="0" tint="-0.34998626667073579"/>
      </top>
      <bottom style="thin">
        <color rgb="FF363A42"/>
      </bottom>
      <diagonal/>
    </border>
    <border>
      <left/>
      <right/>
      <top style="thin">
        <color indexed="64"/>
      </top>
      <bottom style="double">
        <color indexed="64"/>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rgb="FF363A42"/>
      </left>
      <right/>
      <top style="thin">
        <color theme="2" tint="-9.9948118533890809E-2"/>
      </top>
      <bottom style="thin">
        <color indexed="64"/>
      </bottom>
      <diagonal/>
    </border>
    <border>
      <left style="thin">
        <color rgb="FF363A42"/>
      </left>
      <right style="thin">
        <color indexed="64"/>
      </right>
      <top style="thin">
        <color indexed="64"/>
      </top>
      <bottom style="thin">
        <color theme="0" tint="-0.24994659260841701"/>
      </bottom>
      <diagonal/>
    </border>
    <border>
      <left style="thin">
        <color rgb="FF363A42"/>
      </left>
      <right style="thin">
        <color indexed="64"/>
      </right>
      <top style="thin">
        <color theme="0" tint="-0.24994659260841701"/>
      </top>
      <bottom style="thin">
        <color theme="0" tint="-0.24994659260841701"/>
      </bottom>
      <diagonal/>
    </border>
    <border>
      <left style="thin">
        <color rgb="FF363A42"/>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rgb="FF363A42"/>
      </left>
      <right style="thin">
        <color rgb="FF363A42"/>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363A42"/>
      </left>
      <right style="thin">
        <color rgb="FF363A42"/>
      </right>
      <top style="thin">
        <color theme="0" tint="-0.24994659260841701"/>
      </top>
      <bottom style="thin">
        <color theme="0" tint="-0.24994659260841701"/>
      </bottom>
      <diagonal/>
    </border>
    <border>
      <left style="thin">
        <color rgb="FF363A42"/>
      </left>
      <right style="thin">
        <color theme="2" tint="-9.9948118533890809E-2"/>
      </right>
      <top style="thin">
        <color theme="0" tint="-0.24994659260841701"/>
      </top>
      <bottom style="thin">
        <color theme="0" tint="-0.24994659260841701"/>
      </bottom>
      <diagonal/>
    </border>
    <border>
      <left style="thin">
        <color rgb="FF363A42"/>
      </left>
      <right style="thin">
        <color rgb="FF363A42"/>
      </right>
      <top style="thin">
        <color theme="0" tint="-0.24994659260841701"/>
      </top>
      <bottom/>
      <diagonal/>
    </border>
    <border>
      <left style="thin">
        <color theme="0" tint="-0.24994659260841701"/>
      </left>
      <right style="thin">
        <color indexed="64"/>
      </right>
      <top style="thin">
        <color theme="0" tint="-0.24994659260841701"/>
      </top>
      <bottom style="thin">
        <color indexed="64"/>
      </bottom>
      <diagonal/>
    </border>
    <border>
      <left style="thin">
        <color rgb="FF363A42"/>
      </left>
      <right style="thin">
        <color theme="2" tint="-9.9948118533890809E-2"/>
      </right>
      <top style="thin">
        <color theme="0" tint="-0.24994659260841701"/>
      </top>
      <bottom style="thin">
        <color indexed="64"/>
      </bottom>
      <diagonal/>
    </border>
    <border>
      <left/>
      <right style="thin">
        <color theme="2" tint="-9.9948118533890809E-2"/>
      </right>
      <top style="thin">
        <color theme="0" tint="-0.24994659260841701"/>
      </top>
      <bottom style="thin">
        <color theme="0" tint="-0.24994659260841701"/>
      </bottom>
      <diagonal/>
    </border>
    <border>
      <left/>
      <right style="thin">
        <color theme="2" tint="-9.9948118533890809E-2"/>
      </right>
      <top style="thin">
        <color theme="0" tint="-0.24994659260841701"/>
      </top>
      <bottom style="thin">
        <color indexed="64"/>
      </bottom>
      <diagonal/>
    </border>
    <border>
      <left style="thin">
        <color theme="0" tint="-0.24994659260841701"/>
      </left>
      <right style="thin">
        <color theme="1"/>
      </right>
      <top style="thin">
        <color theme="0" tint="-0.24994659260841701"/>
      </top>
      <bottom style="thin">
        <color theme="0" tint="-0.24994659260841701"/>
      </bottom>
      <diagonal/>
    </border>
    <border>
      <left style="thin">
        <color theme="0" tint="-0.24994659260841701"/>
      </left>
      <right style="thin">
        <color theme="1"/>
      </right>
      <top style="thin">
        <color theme="0" tint="-0.24994659260841701"/>
      </top>
      <bottom style="thin">
        <color indexed="64"/>
      </bottom>
      <diagonal/>
    </border>
    <border>
      <left style="thin">
        <color theme="0" tint="-0.24994659260841701"/>
      </left>
      <right style="thin">
        <color theme="1"/>
      </right>
      <top/>
      <bottom style="thin">
        <color theme="0" tint="-0.24994659260841701"/>
      </bottom>
      <diagonal/>
    </border>
    <border>
      <left/>
      <right style="thin">
        <color theme="2" tint="-9.9948118533890809E-2"/>
      </right>
      <top/>
      <bottom style="thin">
        <color theme="0" tint="-0.24994659260841701"/>
      </bottom>
      <diagonal/>
    </border>
    <border>
      <left style="thin">
        <color rgb="FF363A42"/>
      </left>
      <right style="thin">
        <color theme="2" tint="-9.9948118533890809E-2"/>
      </right>
      <top/>
      <bottom style="thin">
        <color theme="0" tint="-0.24994659260841701"/>
      </bottom>
      <diagonal/>
    </border>
    <border>
      <left style="thin">
        <color rgb="FF363A42"/>
      </left>
      <right style="thin">
        <color indexed="64"/>
      </right>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1"/>
      </right>
      <top style="thin">
        <color indexed="64"/>
      </top>
      <bottom style="thin">
        <color indexed="64"/>
      </bottom>
      <diagonal/>
    </border>
    <border>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rgb="FF363A4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rgb="FF363A42"/>
      </left>
      <right style="thin">
        <color theme="1"/>
      </right>
      <top style="thin">
        <color theme="0" tint="-0.24994659260841701"/>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style="thin">
        <color theme="1"/>
      </left>
      <right style="thin">
        <color indexed="64"/>
      </right>
      <top style="thin">
        <color theme="0" tint="-0.24994659260841701"/>
      </top>
      <bottom style="thin">
        <color theme="0" tint="-0.24994659260841701"/>
      </bottom>
      <diagonal/>
    </border>
    <border>
      <left style="thin">
        <color theme="2" tint="-9.9948118533890809E-2"/>
      </left>
      <right style="thin">
        <color indexed="64"/>
      </right>
      <top/>
      <bottom style="thin">
        <color theme="2" tint="-9.9948118533890809E-2"/>
      </bottom>
      <diagonal/>
    </border>
    <border>
      <left style="thin">
        <color theme="2" tint="-9.9948118533890809E-2"/>
      </left>
      <right style="thin">
        <color indexed="64"/>
      </right>
      <top style="thin">
        <color theme="2" tint="-9.9948118533890809E-2"/>
      </top>
      <bottom style="thin">
        <color theme="2" tint="-9.9948118533890809E-2"/>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theme="2" tint="-9.9948118533890809E-2"/>
      </left>
      <right style="thin">
        <color rgb="FF363A42"/>
      </right>
      <top style="thin">
        <color indexed="64"/>
      </top>
      <bottom style="thin">
        <color theme="2" tint="-9.9948118533890809E-2"/>
      </bottom>
      <diagonal/>
    </border>
    <border>
      <left style="thin">
        <color indexed="64"/>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rgb="FF363A42"/>
      </right>
      <top style="thin">
        <color theme="2" tint="-9.9948118533890809E-2"/>
      </top>
      <bottom style="thin">
        <color theme="2" tint="-9.9948118533890809E-2"/>
      </bottom>
      <diagonal/>
    </border>
    <border>
      <left style="thin">
        <color theme="2" tint="-9.9948118533890809E-2"/>
      </left>
      <right style="thin">
        <color rgb="FF363A42"/>
      </right>
      <top style="thin">
        <color theme="2" tint="-9.9948118533890809E-2"/>
      </top>
      <bottom style="thin">
        <color indexed="64"/>
      </bottom>
      <diagonal/>
    </border>
  </borders>
  <cellStyleXfs count="7">
    <xf numFmtId="0" fontId="0" fillId="0" borderId="0"/>
    <xf numFmtId="165" fontId="1" fillId="0" borderId="0" applyFont="0" applyFill="0" applyBorder="0" applyAlignment="0" applyProtection="0"/>
    <xf numFmtId="0" fontId="2" fillId="0" borderId="1" applyNumberFormat="0" applyFill="0" applyAlignment="0" applyProtection="0"/>
    <xf numFmtId="0" fontId="6" fillId="0" borderId="0" applyNumberFormat="0" applyFill="0" applyBorder="0" applyAlignment="0" applyProtection="0"/>
    <xf numFmtId="0" fontId="7" fillId="6" borderId="0" applyNumberFormat="0" applyBorder="0" applyAlignment="0" applyProtection="0"/>
    <xf numFmtId="0" fontId="1" fillId="7" borderId="0" applyNumberFormat="0" applyBorder="0" applyAlignment="0" applyProtection="0"/>
    <xf numFmtId="9" fontId="1" fillId="0" borderId="0" applyFont="0" applyFill="0" applyBorder="0" applyAlignment="0" applyProtection="0"/>
  </cellStyleXfs>
  <cellXfs count="458">
    <xf numFmtId="0" fontId="0" fillId="0" borderId="0" xfId="0"/>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0" fillId="5" borderId="0" xfId="0" applyFill="1"/>
    <xf numFmtId="0" fontId="6" fillId="0" borderId="0" xfId="3"/>
    <xf numFmtId="0" fontId="0" fillId="8" borderId="0" xfId="0" applyFill="1" applyAlignment="1">
      <alignment vertical="center"/>
    </xf>
    <xf numFmtId="0" fontId="0" fillId="0" borderId="0" xfId="0" applyAlignment="1">
      <alignment vertical="center"/>
    </xf>
    <xf numFmtId="0" fontId="0" fillId="9" borderId="0" xfId="0" applyFill="1"/>
    <xf numFmtId="0" fontId="0" fillId="9" borderId="0" xfId="0" applyFill="1" applyAlignment="1">
      <alignment horizontal="center"/>
    </xf>
    <xf numFmtId="0" fontId="0" fillId="12" borderId="0" xfId="0" applyFill="1"/>
    <xf numFmtId="0" fontId="8" fillId="12" borderId="0" xfId="2" applyFont="1" applyFill="1" applyBorder="1" applyAlignment="1">
      <alignment vertical="center"/>
    </xf>
    <xf numFmtId="0" fontId="0" fillId="12" borderId="0" xfId="0" applyFill="1" applyAlignment="1">
      <alignment vertical="center"/>
    </xf>
    <xf numFmtId="0" fontId="6" fillId="12" borderId="0" xfId="3" applyFill="1" applyBorder="1" applyAlignment="1">
      <alignment horizontal="center" vertical="center"/>
    </xf>
    <xf numFmtId="0" fontId="0" fillId="12" borderId="0" xfId="0" applyFill="1" applyAlignment="1">
      <alignment horizontal="center" vertical="center"/>
    </xf>
    <xf numFmtId="0" fontId="0" fillId="12" borderId="0" xfId="0" applyFill="1" applyAlignment="1">
      <alignment vertical="top"/>
    </xf>
    <xf numFmtId="0" fontId="9" fillId="12" borderId="0" xfId="4" applyFont="1" applyFill="1" applyBorder="1" applyAlignment="1">
      <alignment horizontal="center" vertical="center"/>
    </xf>
    <xf numFmtId="0" fontId="12" fillId="0" borderId="0" xfId="0" applyFont="1"/>
    <xf numFmtId="0" fontId="12" fillId="0" borderId="0" xfId="4" applyFont="1" applyFill="1" applyBorder="1" applyAlignment="1">
      <alignment horizontal="center" vertical="center" wrapText="1"/>
    </xf>
    <xf numFmtId="168" fontId="0" fillId="0" borderId="0" xfId="0" applyNumberFormat="1"/>
    <xf numFmtId="0" fontId="7" fillId="9" borderId="2" xfId="4" applyFill="1" applyBorder="1" applyAlignment="1">
      <alignment horizontal="center" vertical="center" wrapText="1"/>
    </xf>
    <xf numFmtId="0" fontId="4" fillId="5" borderId="0" xfId="0" applyFont="1" applyFill="1"/>
    <xf numFmtId="0" fontId="18" fillId="0" borderId="0" xfId="0" applyFont="1"/>
    <xf numFmtId="169" fontId="0" fillId="5" borderId="0" xfId="0" applyNumberFormat="1" applyFill="1"/>
    <xf numFmtId="0" fontId="4" fillId="16" borderId="0" xfId="0" applyFont="1" applyFill="1"/>
    <xf numFmtId="0" fontId="0" fillId="16" borderId="0" xfId="0" applyFill="1"/>
    <xf numFmtId="0" fontId="0" fillId="16" borderId="23" xfId="0" applyFill="1" applyBorder="1"/>
    <xf numFmtId="0" fontId="0" fillId="16" borderId="23" xfId="0" applyFill="1" applyBorder="1" applyAlignment="1">
      <alignment horizontal="center"/>
    </xf>
    <xf numFmtId="0" fontId="0" fillId="15" borderId="17" xfId="0" applyFill="1" applyBorder="1"/>
    <xf numFmtId="0" fontId="0" fillId="15" borderId="27" xfId="0" applyFill="1" applyBorder="1"/>
    <xf numFmtId="0" fontId="0" fillId="14" borderId="34" xfId="0" applyFill="1" applyBorder="1"/>
    <xf numFmtId="0" fontId="0" fillId="15" borderId="19" xfId="0" applyFill="1" applyBorder="1"/>
    <xf numFmtId="0" fontId="4" fillId="15" borderId="24" xfId="0" applyFont="1" applyFill="1" applyBorder="1"/>
    <xf numFmtId="0" fontId="0" fillId="15" borderId="26" xfId="0" applyFill="1" applyBorder="1"/>
    <xf numFmtId="0" fontId="0" fillId="15" borderId="22" xfId="0" applyFill="1" applyBorder="1" applyAlignment="1">
      <alignment horizontal="center" wrapText="1"/>
    </xf>
    <xf numFmtId="0" fontId="0" fillId="15" borderId="18" xfId="0" applyFill="1" applyBorder="1" applyAlignment="1">
      <alignment horizontal="center" wrapText="1"/>
    </xf>
    <xf numFmtId="9" fontId="0" fillId="14" borderId="0" xfId="0" applyNumberFormat="1" applyFill="1"/>
    <xf numFmtId="9" fontId="0" fillId="14" borderId="34" xfId="0" applyNumberFormat="1" applyFill="1" applyBorder="1"/>
    <xf numFmtId="9" fontId="0" fillId="15" borderId="25" xfId="0" applyNumberFormat="1" applyFill="1" applyBorder="1"/>
    <xf numFmtId="9" fontId="0" fillId="15" borderId="26" xfId="0" applyNumberFormat="1" applyFill="1" applyBorder="1"/>
    <xf numFmtId="0" fontId="0" fillId="15" borderId="25" xfId="0" applyFill="1" applyBorder="1"/>
    <xf numFmtId="0" fontId="0" fillId="5" borderId="23" xfId="0" applyFill="1" applyBorder="1" applyAlignment="1">
      <alignment horizontal="center"/>
    </xf>
    <xf numFmtId="0" fontId="4" fillId="3" borderId="24" xfId="0" applyFont="1" applyFill="1" applyBorder="1"/>
    <xf numFmtId="0" fontId="0" fillId="3" borderId="26" xfId="0" applyFill="1" applyBorder="1"/>
    <xf numFmtId="0" fontId="0" fillId="3" borderId="27" xfId="0" applyFill="1" applyBorder="1"/>
    <xf numFmtId="0" fontId="0" fillId="0" borderId="0" xfId="0" applyAlignment="1">
      <alignment horizontal="left" indent="1"/>
    </xf>
    <xf numFmtId="0" fontId="7" fillId="9" borderId="0" xfId="4" applyFill="1" applyBorder="1" applyAlignment="1">
      <alignment horizontal="center" vertical="center" wrapText="1"/>
    </xf>
    <xf numFmtId="0" fontId="4" fillId="0" borderId="25" xfId="0" applyFont="1" applyBorder="1"/>
    <xf numFmtId="0" fontId="12" fillId="0" borderId="19" xfId="4" applyFont="1" applyFill="1" applyBorder="1" applyAlignment="1">
      <alignment horizontal="center" vertical="center" wrapText="1"/>
    </xf>
    <xf numFmtId="0" fontId="12" fillId="0" borderId="23" xfId="4" applyFont="1" applyFill="1" applyBorder="1" applyAlignment="1">
      <alignment horizontal="center" vertical="center" wrapText="1"/>
    </xf>
    <xf numFmtId="0" fontId="12" fillId="0" borderId="20" xfId="4" applyFont="1" applyFill="1" applyBorder="1" applyAlignment="1">
      <alignment horizontal="center" vertical="center" wrapText="1"/>
    </xf>
    <xf numFmtId="9" fontId="0" fillId="0" borderId="0" xfId="6" applyFont="1"/>
    <xf numFmtId="0" fontId="0" fillId="0" borderId="2" xfId="0" applyBorder="1"/>
    <xf numFmtId="1" fontId="20" fillId="0" borderId="19" xfId="0" applyNumberFormat="1" applyFont="1" applyBorder="1" applyAlignment="1" applyProtection="1">
      <alignment horizontal="center" wrapText="1"/>
      <protection locked="0"/>
    </xf>
    <xf numFmtId="1" fontId="20" fillId="0" borderId="20" xfId="0" applyNumberFormat="1" applyFont="1" applyBorder="1" applyAlignment="1" applyProtection="1">
      <alignment horizontal="center" wrapText="1"/>
      <protection locked="0"/>
    </xf>
    <xf numFmtId="1" fontId="21" fillId="0" borderId="29" xfId="0" applyNumberFormat="1" applyFont="1" applyBorder="1" applyAlignment="1" applyProtection="1">
      <alignment horizontal="center"/>
      <protection locked="0"/>
    </xf>
    <xf numFmtId="1" fontId="21" fillId="0" borderId="35" xfId="0" applyNumberFormat="1" applyFont="1" applyBorder="1" applyAlignment="1" applyProtection="1">
      <alignment horizontal="center"/>
      <protection locked="0"/>
    </xf>
    <xf numFmtId="1" fontId="21" fillId="0" borderId="31" xfId="0" applyNumberFormat="1" applyFont="1" applyBorder="1" applyAlignment="1" applyProtection="1">
      <alignment horizontal="center"/>
      <protection locked="0"/>
    </xf>
    <xf numFmtId="1" fontId="21" fillId="0" borderId="36" xfId="0" applyNumberFormat="1" applyFont="1" applyBorder="1" applyAlignment="1" applyProtection="1">
      <alignment horizontal="center"/>
      <protection locked="0"/>
    </xf>
    <xf numFmtId="0" fontId="22" fillId="12" borderId="0" xfId="0" applyFont="1" applyFill="1" applyAlignment="1">
      <alignment horizontal="left" vertical="top" wrapText="1"/>
    </xf>
    <xf numFmtId="0" fontId="32" fillId="12" borderId="0" xfId="0" applyFont="1" applyFill="1" applyAlignment="1">
      <alignment horizontal="left" vertical="top" wrapText="1"/>
    </xf>
    <xf numFmtId="0" fontId="3" fillId="0" borderId="0" xfId="0" applyFont="1" applyAlignment="1">
      <alignment vertical="top"/>
    </xf>
    <xf numFmtId="0" fontId="12" fillId="0" borderId="0" xfId="0" applyFont="1" applyAlignment="1">
      <alignment vertical="top"/>
    </xf>
    <xf numFmtId="0" fontId="42" fillId="0" borderId="0" xfId="4" applyFont="1" applyFill="1" applyBorder="1" applyAlignment="1">
      <alignment vertical="center"/>
    </xf>
    <xf numFmtId="0" fontId="32" fillId="0" borderId="0" xfId="4" applyFont="1" applyFill="1" applyBorder="1" applyAlignment="1">
      <alignment vertical="center" wrapText="1"/>
    </xf>
    <xf numFmtId="0" fontId="19" fillId="0" borderId="0" xfId="0" applyFont="1" applyAlignment="1">
      <alignment horizontal="center" vertical="center"/>
    </xf>
    <xf numFmtId="0" fontId="34" fillId="0" borderId="0" xfId="0" applyFont="1" applyAlignment="1">
      <alignment horizontal="left" vertical="center" wrapText="1"/>
    </xf>
    <xf numFmtId="0" fontId="0" fillId="0" borderId="0" xfId="0" applyAlignment="1">
      <alignment horizontal="left" vertical="top"/>
    </xf>
    <xf numFmtId="0" fontId="4"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6" fontId="0" fillId="0" borderId="0" xfId="1" applyNumberFormat="1" applyFont="1" applyAlignment="1">
      <alignment horizontal="right" vertical="top"/>
    </xf>
    <xf numFmtId="166" fontId="0" fillId="13" borderId="0" xfId="1" applyNumberFormat="1" applyFont="1" applyFill="1" applyAlignment="1">
      <alignment horizontal="right" vertical="top"/>
    </xf>
    <xf numFmtId="166" fontId="12" fillId="0" borderId="0" xfId="1" applyNumberFormat="1" applyFont="1" applyAlignment="1">
      <alignment horizontal="right" vertical="top"/>
    </xf>
    <xf numFmtId="0" fontId="47" fillId="0" borderId="0" xfId="0" applyFont="1" applyAlignment="1">
      <alignment vertical="top" wrapText="1"/>
    </xf>
    <xf numFmtId="166" fontId="47" fillId="0" borderId="0" xfId="1" applyNumberFormat="1" applyFont="1" applyAlignment="1">
      <alignment horizontal="right" vertical="top"/>
    </xf>
    <xf numFmtId="0" fontId="47" fillId="0" borderId="0" xfId="0" applyFont="1" applyAlignment="1">
      <alignment horizontal="left" vertical="top"/>
    </xf>
    <xf numFmtId="166" fontId="0" fillId="4" borderId="0" xfId="1" applyNumberFormat="1" applyFont="1" applyFill="1" applyAlignment="1">
      <alignment horizontal="right" vertical="top"/>
    </xf>
    <xf numFmtId="0" fontId="47" fillId="0" borderId="0" xfId="0" applyFont="1" applyAlignment="1">
      <alignment vertical="top"/>
    </xf>
    <xf numFmtId="166" fontId="47" fillId="0" borderId="0" xfId="1" quotePrefix="1" applyNumberFormat="1" applyFont="1" applyAlignment="1">
      <alignment horizontal="right" vertical="top"/>
    </xf>
    <xf numFmtId="164" fontId="47" fillId="0" borderId="0" xfId="0" applyNumberFormat="1" applyFont="1" applyAlignment="1">
      <alignment horizontal="left" vertical="top"/>
    </xf>
    <xf numFmtId="164" fontId="0" fillId="0" borderId="0" xfId="0" applyNumberFormat="1" applyAlignment="1">
      <alignment horizontal="left" vertical="top"/>
    </xf>
    <xf numFmtId="166" fontId="0" fillId="0" borderId="0" xfId="1" applyNumberFormat="1" applyFont="1" applyFill="1" applyAlignment="1">
      <alignment horizontal="right" vertical="top"/>
    </xf>
    <xf numFmtId="0" fontId="4" fillId="0" borderId="0" xfId="0" applyFont="1" applyAlignment="1">
      <alignment vertical="top"/>
    </xf>
    <xf numFmtId="166" fontId="4" fillId="0" borderId="0" xfId="1" applyNumberFormat="1" applyFont="1" applyAlignment="1">
      <alignment horizontal="right" vertical="top"/>
    </xf>
    <xf numFmtId="0" fontId="0" fillId="0" borderId="0" xfId="0" applyAlignment="1">
      <alignment horizontal="right" vertical="top"/>
    </xf>
    <xf numFmtId="0" fontId="0" fillId="0" borderId="0" xfId="0" applyAlignment="1">
      <alignment horizontal="center" vertical="top"/>
    </xf>
    <xf numFmtId="0" fontId="47" fillId="0" borderId="0" xfId="0" applyFont="1"/>
    <xf numFmtId="0" fontId="21" fillId="0" borderId="28" xfId="0" applyFont="1" applyBorder="1" applyAlignment="1" applyProtection="1">
      <alignment horizontal="center"/>
      <protection locked="0"/>
    </xf>
    <xf numFmtId="0" fontId="21" fillId="0" borderId="29" xfId="0" applyFont="1" applyBorder="1" applyAlignment="1" applyProtection="1">
      <alignment horizontal="center"/>
      <protection locked="0"/>
    </xf>
    <xf numFmtId="0" fontId="21" fillId="0" borderId="30" xfId="0" applyFont="1" applyBorder="1" applyAlignment="1" applyProtection="1">
      <alignment horizontal="center"/>
      <protection locked="0"/>
    </xf>
    <xf numFmtId="0" fontId="21" fillId="0" borderId="31" xfId="0" applyFont="1" applyBorder="1" applyAlignment="1" applyProtection="1">
      <alignment horizontal="center"/>
      <protection locked="0"/>
    </xf>
    <xf numFmtId="1" fontId="20" fillId="0" borderId="17" xfId="0" applyNumberFormat="1" applyFont="1" applyBorder="1" applyAlignment="1" applyProtection="1">
      <alignment horizontal="center" wrapText="1"/>
      <protection locked="0"/>
    </xf>
    <xf numFmtId="1" fontId="20" fillId="0" borderId="22" xfId="0" applyNumberFormat="1" applyFont="1" applyBorder="1" applyAlignment="1" applyProtection="1">
      <alignment horizontal="center" wrapText="1"/>
      <protection locked="0"/>
    </xf>
    <xf numFmtId="1" fontId="20" fillId="0" borderId="25" xfId="0" applyNumberFormat="1" applyFont="1" applyBorder="1" applyAlignment="1" applyProtection="1">
      <alignment horizontal="center" wrapText="1"/>
      <protection locked="0"/>
    </xf>
    <xf numFmtId="1" fontId="20" fillId="0" borderId="26" xfId="0" applyNumberFormat="1" applyFont="1" applyBorder="1" applyAlignment="1" applyProtection="1">
      <alignment horizontal="center" wrapText="1"/>
      <protection locked="0"/>
    </xf>
    <xf numFmtId="0" fontId="7" fillId="9" borderId="24" xfId="4" applyFill="1" applyBorder="1" applyAlignment="1" applyProtection="1">
      <alignment horizontal="center" vertical="center" wrapText="1"/>
    </xf>
    <xf numFmtId="0" fontId="6" fillId="8" borderId="0" xfId="3" applyFill="1" applyAlignment="1" applyProtection="1">
      <alignment horizontal="center" vertical="center"/>
    </xf>
    <xf numFmtId="0" fontId="0" fillId="8" borderId="0" xfId="0" applyFill="1" applyAlignment="1">
      <alignment horizontal="center" vertical="center"/>
    </xf>
    <xf numFmtId="0" fontId="0" fillId="5" borderId="0" xfId="0" applyFill="1" applyAlignment="1">
      <alignment vertical="center"/>
    </xf>
    <xf numFmtId="0" fontId="0" fillId="5" borderId="0" xfId="0" applyFill="1" applyAlignment="1">
      <alignment wrapText="1"/>
    </xf>
    <xf numFmtId="0" fontId="3" fillId="5" borderId="0" xfId="0" applyFont="1" applyFill="1" applyAlignment="1">
      <alignment vertical="center" textRotation="46" wrapText="1"/>
    </xf>
    <xf numFmtId="0" fontId="12" fillId="5" borderId="0" xfId="0" applyFont="1" applyFill="1"/>
    <xf numFmtId="0" fontId="0" fillId="5" borderId="0" xfId="0" applyFill="1" applyAlignment="1">
      <alignment horizontal="right"/>
    </xf>
    <xf numFmtId="1" fontId="0" fillId="5" borderId="0" xfId="0" applyNumberFormat="1" applyFill="1" applyAlignment="1">
      <alignment horizontal="center"/>
    </xf>
    <xf numFmtId="0" fontId="4" fillId="5" borderId="0" xfId="0" applyFont="1" applyFill="1" applyAlignment="1">
      <alignment horizontal="right"/>
    </xf>
    <xf numFmtId="167" fontId="0" fillId="5" borderId="0" xfId="0" applyNumberFormat="1" applyFill="1" applyAlignment="1">
      <alignment horizontal="center"/>
    </xf>
    <xf numFmtId="0" fontId="9" fillId="9" borderId="24" xfId="4" applyFont="1" applyFill="1" applyBorder="1" applyAlignment="1" applyProtection="1">
      <alignment vertical="center"/>
    </xf>
    <xf numFmtId="0" fontId="7" fillId="9" borderId="154" xfId="4" applyFill="1" applyBorder="1" applyAlignment="1" applyProtection="1">
      <alignment horizontal="center" vertical="center" wrapText="1"/>
    </xf>
    <xf numFmtId="0" fontId="7" fillId="9" borderId="158" xfId="4" applyFill="1" applyBorder="1" applyAlignment="1" applyProtection="1">
      <alignment horizontal="center" vertical="center" wrapText="1"/>
    </xf>
    <xf numFmtId="0" fontId="7" fillId="9" borderId="155" xfId="4" applyFill="1" applyBorder="1" applyAlignment="1" applyProtection="1">
      <alignment horizontal="center" vertical="center" wrapText="1"/>
    </xf>
    <xf numFmtId="0" fontId="7" fillId="9" borderId="156" xfId="4" applyFill="1" applyBorder="1" applyAlignment="1" applyProtection="1">
      <alignment horizontal="center" vertical="center" wrapText="1"/>
    </xf>
    <xf numFmtId="0" fontId="7" fillId="9" borderId="157" xfId="4" applyFill="1" applyBorder="1" applyAlignment="1" applyProtection="1">
      <alignment horizontal="center" vertical="center" wrapText="1"/>
    </xf>
    <xf numFmtId="0" fontId="7" fillId="9" borderId="2" xfId="4" applyFill="1" applyBorder="1" applyAlignment="1" applyProtection="1">
      <alignment horizontal="center" vertical="center" wrapText="1"/>
    </xf>
    <xf numFmtId="0" fontId="0" fillId="5" borderId="8" xfId="0" applyFill="1" applyBorder="1"/>
    <xf numFmtId="0" fontId="9" fillId="11" borderId="139" xfId="4" applyFont="1" applyFill="1" applyBorder="1" applyAlignment="1" applyProtection="1">
      <alignment horizontal="center" vertical="center"/>
    </xf>
    <xf numFmtId="0" fontId="9" fillId="11" borderId="159" xfId="4" applyFont="1" applyFill="1" applyBorder="1" applyAlignment="1" applyProtection="1">
      <alignment horizontal="center" vertical="center"/>
    </xf>
    <xf numFmtId="0" fontId="7" fillId="11" borderId="160" xfId="4" applyFill="1" applyBorder="1" applyAlignment="1" applyProtection="1">
      <alignment horizontal="center"/>
    </xf>
    <xf numFmtId="0" fontId="7" fillId="11" borderId="129" xfId="4" applyFill="1" applyBorder="1" applyAlignment="1" applyProtection="1">
      <alignment horizontal="center"/>
    </xf>
    <xf numFmtId="3" fontId="0" fillId="11" borderId="140" xfId="0" applyNumberFormat="1" applyFill="1" applyBorder="1"/>
    <xf numFmtId="3" fontId="0" fillId="11" borderId="150" xfId="0" applyNumberFormat="1" applyFill="1" applyBorder="1"/>
    <xf numFmtId="3" fontId="0" fillId="11" borderId="151" xfId="0" applyNumberFormat="1" applyFill="1" applyBorder="1"/>
    <xf numFmtId="3" fontId="0" fillId="11" borderId="152" xfId="0" applyNumberFormat="1" applyFill="1" applyBorder="1"/>
    <xf numFmtId="3" fontId="0" fillId="11" borderId="153" xfId="0" applyNumberFormat="1" applyFill="1" applyBorder="1"/>
    <xf numFmtId="0" fontId="14" fillId="9" borderId="141" xfId="5" applyFont="1" applyFill="1" applyBorder="1" applyProtection="1"/>
    <xf numFmtId="0" fontId="10" fillId="9" borderId="161" xfId="5" applyFont="1" applyFill="1" applyBorder="1" applyAlignment="1" applyProtection="1">
      <alignment horizontal="center"/>
    </xf>
    <xf numFmtId="0" fontId="10" fillId="9" borderId="162" xfId="5" applyFont="1" applyFill="1" applyBorder="1" applyProtection="1"/>
    <xf numFmtId="0" fontId="10" fillId="9" borderId="128" xfId="5" applyFont="1" applyFill="1" applyBorder="1" applyProtection="1"/>
    <xf numFmtId="3" fontId="0" fillId="9" borderId="21" xfId="0" applyNumberFormat="1" applyFill="1" applyBorder="1"/>
    <xf numFmtId="3" fontId="0" fillId="9" borderId="148" xfId="0" applyNumberFormat="1" applyFill="1" applyBorder="1"/>
    <xf numFmtId="3" fontId="0" fillId="9" borderId="146" xfId="0" applyNumberFormat="1" applyFill="1" applyBorder="1"/>
    <xf numFmtId="3" fontId="0" fillId="9" borderId="142" xfId="0" applyNumberFormat="1" applyFill="1" applyBorder="1"/>
    <xf numFmtId="3" fontId="0" fillId="9" borderId="132" xfId="0" applyNumberFormat="1" applyFill="1" applyBorder="1"/>
    <xf numFmtId="0" fontId="0" fillId="11" borderId="141" xfId="0" applyFill="1" applyBorder="1" applyAlignment="1">
      <alignment horizontal="left" vertical="top" indent="2"/>
    </xf>
    <xf numFmtId="0" fontId="0" fillId="11" borderId="141" xfId="0" applyFill="1" applyBorder="1" applyAlignment="1">
      <alignment horizontal="left" vertical="top" wrapText="1" indent="2"/>
    </xf>
    <xf numFmtId="0" fontId="0" fillId="11" borderId="143" xfId="0" applyFill="1" applyBorder="1" applyAlignment="1">
      <alignment horizontal="left" vertical="top" indent="2"/>
    </xf>
    <xf numFmtId="0" fontId="0" fillId="5" borderId="15" xfId="0" applyFill="1" applyBorder="1"/>
    <xf numFmtId="0" fontId="0" fillId="5" borderId="15" xfId="0" applyFill="1" applyBorder="1" applyAlignment="1">
      <alignment horizontal="center"/>
    </xf>
    <xf numFmtId="0" fontId="0" fillId="5" borderId="0" xfId="0" applyFill="1" applyAlignment="1">
      <alignment horizontal="center"/>
    </xf>
    <xf numFmtId="170" fontId="52" fillId="5" borderId="0" xfId="0" applyNumberFormat="1" applyFont="1" applyFill="1" applyAlignment="1">
      <alignment horizontal="center"/>
    </xf>
    <xf numFmtId="0" fontId="15" fillId="9" borderId="109" xfId="5" applyFont="1" applyFill="1" applyBorder="1" applyProtection="1"/>
    <xf numFmtId="0" fontId="10" fillId="9" borderId="22" xfId="5" applyFont="1" applyFill="1" applyBorder="1" applyAlignment="1" applyProtection="1">
      <alignment horizontal="center"/>
    </xf>
    <xf numFmtId="0" fontId="10" fillId="9" borderId="108" xfId="5" applyFont="1" applyFill="1" applyBorder="1" applyAlignment="1" applyProtection="1">
      <alignment horizontal="center"/>
    </xf>
    <xf numFmtId="0" fontId="10" fillId="9" borderId="127" xfId="5" applyFont="1" applyFill="1" applyBorder="1" applyAlignment="1" applyProtection="1">
      <alignment horizontal="center"/>
    </xf>
    <xf numFmtId="0" fontId="10" fillId="5" borderId="0" xfId="5" applyFont="1" applyFill="1" applyBorder="1" applyAlignment="1" applyProtection="1">
      <alignment horizontal="center"/>
    </xf>
    <xf numFmtId="0" fontId="0" fillId="11" borderId="110" xfId="0" applyFill="1" applyBorder="1" applyAlignment="1">
      <alignment horizontal="left" indent="2"/>
    </xf>
    <xf numFmtId="0" fontId="0" fillId="11" borderId="8" xfId="0" applyFill="1" applyBorder="1" applyAlignment="1">
      <alignment horizontal="left" indent="2"/>
    </xf>
    <xf numFmtId="170" fontId="0" fillId="11" borderId="114" xfId="0" applyNumberFormat="1" applyFill="1" applyBorder="1" applyAlignment="1">
      <alignment horizontal="center"/>
    </xf>
    <xf numFmtId="170" fontId="0" fillId="11" borderId="167" xfId="0" applyNumberFormat="1" applyFill="1" applyBorder="1" applyAlignment="1">
      <alignment horizontal="center"/>
    </xf>
    <xf numFmtId="170" fontId="0" fillId="5" borderId="0" xfId="0" applyNumberFormat="1" applyFill="1" applyAlignment="1">
      <alignment horizontal="center"/>
    </xf>
    <xf numFmtId="170" fontId="0" fillId="11" borderId="115" xfId="0" applyNumberFormat="1" applyFill="1" applyBorder="1" applyAlignment="1">
      <alignment horizontal="center"/>
    </xf>
    <xf numFmtId="170" fontId="0" fillId="11" borderId="168" xfId="0" applyNumberFormat="1" applyFill="1" applyBorder="1" applyAlignment="1">
      <alignment horizontal="center"/>
    </xf>
    <xf numFmtId="0" fontId="0" fillId="11" borderId="111" xfId="0" applyFill="1" applyBorder="1" applyAlignment="1">
      <alignment horizontal="left" indent="2"/>
    </xf>
    <xf numFmtId="0" fontId="0" fillId="11" borderId="112" xfId="0" applyFill="1" applyBorder="1" applyAlignment="1">
      <alignment horizontal="left" indent="2"/>
    </xf>
    <xf numFmtId="170" fontId="0" fillId="11" borderId="116" xfId="0" applyNumberFormat="1" applyFill="1" applyBorder="1" applyAlignment="1">
      <alignment horizontal="center"/>
    </xf>
    <xf numFmtId="170" fontId="0" fillId="11" borderId="46" xfId="0" applyNumberFormat="1" applyFill="1" applyBorder="1" applyAlignment="1">
      <alignment horizontal="center"/>
    </xf>
    <xf numFmtId="0" fontId="0" fillId="0" borderId="0" xfId="0" applyAlignment="1">
      <alignment horizontal="center"/>
    </xf>
    <xf numFmtId="0" fontId="11" fillId="9" borderId="4" xfId="4" applyFont="1" applyFill="1" applyBorder="1" applyAlignment="1" applyProtection="1">
      <alignment horizontal="center"/>
    </xf>
    <xf numFmtId="0" fontId="11" fillId="9" borderId="7" xfId="4" applyFont="1" applyFill="1" applyBorder="1" applyAlignment="1" applyProtection="1">
      <alignment horizontal="center"/>
    </xf>
    <xf numFmtId="0" fontId="4" fillId="11" borderId="9" xfId="4" applyFont="1" applyFill="1" applyBorder="1" applyAlignment="1" applyProtection="1">
      <alignment horizontal="center" vertical="center"/>
    </xf>
    <xf numFmtId="0" fontId="4" fillId="11" borderId="113" xfId="4" applyFont="1" applyFill="1" applyBorder="1" applyAlignment="1" applyProtection="1">
      <alignment horizontal="center" vertical="center" wrapText="1"/>
    </xf>
    <xf numFmtId="0" fontId="0" fillId="11" borderId="5" xfId="4" applyFont="1" applyFill="1" applyBorder="1" applyAlignment="1" applyProtection="1">
      <alignment horizontal="center" vertical="center"/>
    </xf>
    <xf numFmtId="0" fontId="4" fillId="11" borderId="10" xfId="4" applyFont="1" applyFill="1" applyBorder="1" applyAlignment="1" applyProtection="1">
      <alignment horizontal="center" vertical="center" wrapText="1"/>
    </xf>
    <xf numFmtId="0" fontId="4" fillId="11" borderId="110" xfId="0" applyFont="1" applyFill="1" applyBorder="1" applyAlignment="1">
      <alignment horizontal="left" indent="2"/>
    </xf>
    <xf numFmtId="170" fontId="0" fillId="11" borderId="117" xfId="0" applyNumberFormat="1" applyFill="1" applyBorder="1" applyAlignment="1">
      <alignment horizontal="center"/>
    </xf>
    <xf numFmtId="170" fontId="0" fillId="11" borderId="118" xfId="0" applyNumberFormat="1" applyFill="1" applyBorder="1" applyAlignment="1">
      <alignment horizontal="center"/>
    </xf>
    <xf numFmtId="170" fontId="0" fillId="11" borderId="119" xfId="0" applyNumberFormat="1" applyFill="1" applyBorder="1" applyAlignment="1">
      <alignment horizontal="center"/>
    </xf>
    <xf numFmtId="170" fontId="0" fillId="11" borderId="120" xfId="0" applyNumberFormat="1" applyFill="1" applyBorder="1" applyAlignment="1">
      <alignment horizontal="center"/>
    </xf>
    <xf numFmtId="170" fontId="0" fillId="11" borderId="121" xfId="0" applyNumberFormat="1" applyFill="1" applyBorder="1" applyAlignment="1">
      <alignment horizontal="center"/>
    </xf>
    <xf numFmtId="170" fontId="0" fillId="11" borderId="122" xfId="0" applyNumberFormat="1" applyFill="1" applyBorder="1" applyAlignment="1">
      <alignment horizontal="center"/>
    </xf>
    <xf numFmtId="0" fontId="0" fillId="0" borderId="6" xfId="0" applyBorder="1"/>
    <xf numFmtId="0" fontId="4" fillId="11" borderId="9" xfId="0" applyFont="1" applyFill="1" applyBorder="1" applyAlignment="1">
      <alignment horizontal="left" indent="2"/>
    </xf>
    <xf numFmtId="170" fontId="0" fillId="11" borderId="123" xfId="0" applyNumberFormat="1" applyFill="1" applyBorder="1" applyAlignment="1">
      <alignment horizontal="center"/>
    </xf>
    <xf numFmtId="170" fontId="0" fillId="11" borderId="124" xfId="0" applyNumberFormat="1" applyFill="1" applyBorder="1" applyAlignment="1">
      <alignment horizontal="center"/>
    </xf>
    <xf numFmtId="170" fontId="0" fillId="11" borderId="125" xfId="0" applyNumberFormat="1" applyFill="1" applyBorder="1" applyAlignment="1">
      <alignment horizontal="center"/>
    </xf>
    <xf numFmtId="0" fontId="53" fillId="0" borderId="0" xfId="4" applyFont="1" applyFill="1" applyBorder="1" applyAlignment="1" applyProtection="1">
      <alignment horizontal="center"/>
    </xf>
    <xf numFmtId="0" fontId="54" fillId="0" borderId="0" xfId="4" applyFont="1" applyFill="1" applyBorder="1" applyAlignment="1" applyProtection="1">
      <alignment vertical="center" wrapText="1"/>
    </xf>
    <xf numFmtId="0" fontId="12" fillId="0" borderId="0" xfId="4" applyFont="1" applyFill="1" applyBorder="1" applyAlignment="1" applyProtection="1">
      <alignment vertical="center"/>
    </xf>
    <xf numFmtId="0" fontId="53" fillId="0" borderId="0" xfId="4" applyFont="1" applyFill="1" applyBorder="1" applyAlignment="1" applyProtection="1">
      <alignment horizontal="center" vertical="center" wrapText="1"/>
    </xf>
    <xf numFmtId="0" fontId="12" fillId="0" borderId="0" xfId="4" applyFont="1" applyFill="1" applyBorder="1" applyAlignment="1" applyProtection="1">
      <alignment horizontal="center" vertical="center"/>
    </xf>
    <xf numFmtId="0" fontId="53" fillId="0" borderId="0" xfId="0" applyFont="1" applyAlignment="1">
      <alignment horizontal="left" indent="2"/>
    </xf>
    <xf numFmtId="170" fontId="12" fillId="0" borderId="0" xfId="0" applyNumberFormat="1" applyFont="1" applyAlignment="1">
      <alignment horizontal="left"/>
    </xf>
    <xf numFmtId="0" fontId="0" fillId="11" borderId="136" xfId="0" applyFill="1" applyBorder="1" applyAlignment="1">
      <alignment horizontal="center"/>
    </xf>
    <xf numFmtId="0" fontId="0" fillId="11" borderId="170" xfId="0" applyFill="1" applyBorder="1" applyAlignment="1">
      <alignment horizontal="center"/>
    </xf>
    <xf numFmtId="0" fontId="0" fillId="11" borderId="138" xfId="0" applyFill="1" applyBorder="1" applyAlignment="1">
      <alignment horizontal="center"/>
    </xf>
    <xf numFmtId="1" fontId="0" fillId="11" borderId="136" xfId="0" applyNumberFormat="1" applyFill="1" applyBorder="1" applyAlignment="1">
      <alignment horizontal="center"/>
    </xf>
    <xf numFmtId="1" fontId="0" fillId="11" borderId="170" xfId="0" applyNumberFormat="1" applyFill="1" applyBorder="1" applyAlignment="1">
      <alignment horizontal="center"/>
    </xf>
    <xf numFmtId="1" fontId="0" fillId="11" borderId="138" xfId="0" applyNumberFormat="1" applyFill="1" applyBorder="1" applyAlignment="1">
      <alignment horizontal="center"/>
    </xf>
    <xf numFmtId="0" fontId="51" fillId="0" borderId="0" xfId="2" applyFont="1" applyFill="1" applyBorder="1" applyAlignment="1" applyProtection="1">
      <alignment vertical="center"/>
    </xf>
    <xf numFmtId="0" fontId="0" fillId="10" borderId="0" xfId="0" applyFill="1" applyAlignment="1">
      <alignment vertical="center"/>
    </xf>
    <xf numFmtId="0" fontId="0" fillId="10" borderId="0" xfId="0" applyFill="1" applyAlignment="1">
      <alignment horizontal="center" vertical="center"/>
    </xf>
    <xf numFmtId="0" fontId="12" fillId="0" borderId="0" xfId="0" applyFont="1" applyAlignment="1">
      <alignment vertical="center"/>
    </xf>
    <xf numFmtId="0" fontId="50" fillId="9" borderId="2" xfId="4" applyFont="1" applyFill="1" applyBorder="1" applyAlignment="1" applyProtection="1">
      <alignment horizontal="left" vertical="center" wrapText="1"/>
    </xf>
    <xf numFmtId="0" fontId="0" fillId="10" borderId="0" xfId="0" applyFill="1"/>
    <xf numFmtId="0" fontId="12" fillId="0" borderId="0" xfId="0" applyFont="1" applyAlignment="1">
      <alignment wrapText="1"/>
    </xf>
    <xf numFmtId="0" fontId="0" fillId="0" borderId="0" xfId="0" applyAlignment="1">
      <alignment wrapText="1"/>
    </xf>
    <xf numFmtId="0" fontId="12" fillId="0" borderId="0" xfId="0" applyFont="1" applyAlignment="1">
      <alignment horizontal="center"/>
    </xf>
    <xf numFmtId="0" fontId="9" fillId="9" borderId="11" xfId="4" applyFont="1" applyFill="1" applyBorder="1" applyAlignment="1" applyProtection="1">
      <alignment vertical="center"/>
    </xf>
    <xf numFmtId="0" fontId="9" fillId="9" borderId="12" xfId="4" applyFont="1" applyFill="1" applyBorder="1" applyAlignment="1" applyProtection="1">
      <alignment vertical="center"/>
    </xf>
    <xf numFmtId="0" fontId="9" fillId="9" borderId="75" xfId="4" applyFont="1" applyFill="1" applyBorder="1" applyAlignment="1" applyProtection="1">
      <alignment vertical="center"/>
    </xf>
    <xf numFmtId="0" fontId="27" fillId="0" borderId="0" xfId="0" applyFont="1"/>
    <xf numFmtId="0" fontId="4" fillId="17" borderId="77" xfId="0" applyFont="1" applyFill="1" applyBorder="1"/>
    <xf numFmtId="0" fontId="0" fillId="17" borderId="22" xfId="0" applyFill="1" applyBorder="1"/>
    <xf numFmtId="0" fontId="0" fillId="17" borderId="78" xfId="0" applyFill="1" applyBorder="1"/>
    <xf numFmtId="0" fontId="0" fillId="17" borderId="77" xfId="0" applyFill="1" applyBorder="1"/>
    <xf numFmtId="0" fontId="7" fillId="9" borderId="40" xfId="4" applyFill="1" applyBorder="1" applyAlignment="1" applyProtection="1">
      <alignment horizontal="center" wrapText="1"/>
    </xf>
    <xf numFmtId="0" fontId="7" fillId="9" borderId="40" xfId="4" applyFill="1" applyBorder="1" applyAlignment="1" applyProtection="1">
      <alignment horizontal="center" vertical="center" wrapText="1"/>
    </xf>
    <xf numFmtId="0" fontId="7" fillId="9" borderId="17" xfId="4" applyFill="1" applyBorder="1" applyAlignment="1" applyProtection="1">
      <alignment horizontal="center" vertical="center" wrapText="1"/>
    </xf>
    <xf numFmtId="0" fontId="0" fillId="11" borderId="40" xfId="0" applyFill="1" applyBorder="1" applyAlignment="1">
      <alignment horizontal="left" vertical="center" wrapText="1"/>
    </xf>
    <xf numFmtId="1" fontId="0" fillId="11" borderId="2" xfId="0" applyNumberFormat="1" applyFill="1" applyBorder="1" applyAlignment="1">
      <alignment horizontal="center" wrapText="1"/>
    </xf>
    <xf numFmtId="0" fontId="0" fillId="2" borderId="0" xfId="0" applyFill="1" applyAlignment="1">
      <alignment horizontal="center"/>
    </xf>
    <xf numFmtId="0" fontId="0" fillId="11" borderId="41" xfId="0" applyFill="1" applyBorder="1" applyAlignment="1">
      <alignment horizontal="left" vertical="center" wrapText="1"/>
    </xf>
    <xf numFmtId="0" fontId="0" fillId="17" borderId="0" xfId="0" applyFill="1"/>
    <xf numFmtId="0" fontId="0" fillId="17" borderId="80" xfId="0" applyFill="1" applyBorder="1"/>
    <xf numFmtId="0" fontId="0" fillId="17" borderId="76" xfId="0" applyFill="1" applyBorder="1"/>
    <xf numFmtId="0" fontId="0" fillId="0" borderId="25" xfId="0" applyBorder="1"/>
    <xf numFmtId="0" fontId="0" fillId="17" borderId="41" xfId="0" applyFill="1" applyBorder="1"/>
    <xf numFmtId="0" fontId="0" fillId="11" borderId="17" xfId="0" applyFill="1" applyBorder="1" applyAlignment="1">
      <alignment vertical="center" wrapText="1"/>
    </xf>
    <xf numFmtId="1" fontId="0" fillId="12" borderId="91" xfId="0" applyNumberFormat="1" applyFill="1" applyBorder="1" applyAlignment="1">
      <alignment horizontal="center" vertical="center" wrapText="1"/>
    </xf>
    <xf numFmtId="1" fontId="0" fillId="12" borderId="92" xfId="0" applyNumberFormat="1" applyFill="1" applyBorder="1" applyAlignment="1">
      <alignment horizontal="center" vertical="center" wrapText="1"/>
    </xf>
    <xf numFmtId="1" fontId="0" fillId="12" borderId="93" xfId="0" applyNumberFormat="1" applyFill="1" applyBorder="1" applyAlignment="1">
      <alignment horizontal="center" vertical="center" wrapText="1"/>
    </xf>
    <xf numFmtId="0" fontId="0" fillId="0" borderId="126" xfId="0" applyBorder="1"/>
    <xf numFmtId="0" fontId="0" fillId="11" borderId="87" xfId="0" applyFill="1" applyBorder="1" applyAlignment="1">
      <alignment horizontal="left" vertical="center" wrapText="1" indent="1"/>
    </xf>
    <xf numFmtId="0" fontId="0" fillId="11" borderId="94" xfId="0" applyFill="1" applyBorder="1" applyAlignment="1">
      <alignment horizontal="center" wrapText="1"/>
    </xf>
    <xf numFmtId="0" fontId="0" fillId="11" borderId="95" xfId="0" applyFill="1" applyBorder="1" applyAlignment="1">
      <alignment horizontal="center" wrapText="1"/>
    </xf>
    <xf numFmtId="0" fontId="0" fillId="11" borderId="96" xfId="0" applyFill="1" applyBorder="1" applyAlignment="1">
      <alignment horizontal="center" wrapText="1"/>
    </xf>
    <xf numFmtId="0" fontId="4" fillId="11" borderId="24" xfId="0" applyFont="1" applyFill="1" applyBorder="1" applyAlignment="1">
      <alignment horizontal="left" wrapText="1"/>
    </xf>
    <xf numFmtId="1" fontId="4" fillId="11" borderId="25" xfId="0" applyNumberFormat="1" applyFont="1" applyFill="1" applyBorder="1" applyAlignment="1">
      <alignment horizontal="center" wrapText="1"/>
    </xf>
    <xf numFmtId="1" fontId="4" fillId="11" borderId="26" xfId="0" applyNumberFormat="1" applyFont="1" applyFill="1" applyBorder="1" applyAlignment="1">
      <alignment horizontal="center" wrapText="1"/>
    </xf>
    <xf numFmtId="1" fontId="4" fillId="11" borderId="2" xfId="0" applyNumberFormat="1" applyFont="1" applyFill="1" applyBorder="1" applyAlignment="1">
      <alignment horizontal="center" wrapText="1"/>
    </xf>
    <xf numFmtId="0" fontId="45" fillId="17" borderId="79" xfId="0" applyFont="1" applyFill="1" applyBorder="1" applyAlignment="1">
      <alignment vertical="center"/>
    </xf>
    <xf numFmtId="0" fontId="45" fillId="17" borderId="0" xfId="0" applyFont="1" applyFill="1" applyAlignment="1">
      <alignment horizontal="center" vertical="center"/>
    </xf>
    <xf numFmtId="0" fontId="45" fillId="17" borderId="80" xfId="0" applyFont="1" applyFill="1" applyBorder="1" applyAlignment="1">
      <alignment horizontal="center" vertical="center"/>
    </xf>
    <xf numFmtId="0" fontId="45" fillId="17" borderId="81" xfId="0" applyFont="1" applyFill="1" applyBorder="1" applyAlignment="1">
      <alignment horizontal="center" vertical="center"/>
    </xf>
    <xf numFmtId="0" fontId="45" fillId="17" borderId="82" xfId="0" applyFont="1" applyFill="1" applyBorder="1" applyAlignment="1">
      <alignment horizontal="center"/>
    </xf>
    <xf numFmtId="0" fontId="45" fillId="17" borderId="83" xfId="0" applyFont="1" applyFill="1" applyBorder="1" applyAlignment="1">
      <alignment horizontal="center" vertical="center"/>
    </xf>
    <xf numFmtId="0" fontId="42" fillId="0" borderId="0" xfId="4" applyFont="1" applyFill="1" applyBorder="1" applyAlignment="1" applyProtection="1">
      <alignment vertical="center"/>
    </xf>
    <xf numFmtId="0" fontId="18" fillId="10" borderId="0" xfId="0" applyFont="1" applyFill="1"/>
    <xf numFmtId="0" fontId="7" fillId="9" borderId="2" xfId="4" applyFill="1" applyBorder="1" applyAlignment="1" applyProtection="1">
      <alignment horizontal="center" wrapText="1"/>
    </xf>
    <xf numFmtId="1" fontId="0" fillId="11" borderId="2" xfId="0" applyNumberFormat="1" applyFill="1" applyBorder="1" applyAlignment="1">
      <alignment horizontal="center" vertical="center" wrapText="1"/>
    </xf>
    <xf numFmtId="0" fontId="4" fillId="0" borderId="0" xfId="0" applyFont="1"/>
    <xf numFmtId="0" fontId="0" fillId="0" borderId="17" xfId="0" applyBorder="1"/>
    <xf numFmtId="0" fontId="0" fillId="0" borderId="22" xfId="0" applyBorder="1" applyAlignment="1">
      <alignment horizontal="center"/>
    </xf>
    <xf numFmtId="0" fontId="0" fillId="0" borderId="18" xfId="0" applyBorder="1" applyAlignment="1">
      <alignment horizontal="center"/>
    </xf>
    <xf numFmtId="0" fontId="0" fillId="10" borderId="0" xfId="0" applyFill="1" applyAlignment="1">
      <alignment horizontal="right"/>
    </xf>
    <xf numFmtId="0" fontId="0" fillId="0" borderId="27" xfId="0" applyBorder="1"/>
    <xf numFmtId="0" fontId="0" fillId="0" borderId="34" xfId="0" applyBorder="1"/>
    <xf numFmtId="0" fontId="3" fillId="10" borderId="0" xfId="0" applyFont="1" applyFill="1"/>
    <xf numFmtId="0" fontId="0" fillId="0" borderId="19" xfId="0" applyBorder="1"/>
    <xf numFmtId="0" fontId="0" fillId="0" borderId="23" xfId="0" applyBorder="1"/>
    <xf numFmtId="0" fontId="0" fillId="0" borderId="20" xfId="0" applyBorder="1"/>
    <xf numFmtId="0" fontId="7" fillId="5" borderId="0" xfId="4" applyFill="1" applyBorder="1" applyAlignment="1" applyProtection="1">
      <alignment horizontal="center" vertical="center" wrapText="1"/>
    </xf>
    <xf numFmtId="0" fontId="12" fillId="0" borderId="0" xfId="0" applyFont="1" applyAlignment="1">
      <alignment horizontal="center" wrapText="1"/>
    </xf>
    <xf numFmtId="0" fontId="7" fillId="5" borderId="76" xfId="4" applyFill="1" applyBorder="1" applyAlignment="1" applyProtection="1">
      <alignment horizontal="center" vertical="center" wrapText="1"/>
    </xf>
    <xf numFmtId="0" fontId="0" fillId="5" borderId="0" xfId="0" applyFill="1" applyAlignment="1">
      <alignment horizontal="center" vertical="center" wrapText="1"/>
    </xf>
    <xf numFmtId="0" fontId="0" fillId="5" borderId="27" xfId="0" applyFill="1" applyBorder="1" applyAlignment="1">
      <alignment horizontal="center" vertical="center" wrapText="1"/>
    </xf>
    <xf numFmtId="0" fontId="4" fillId="5" borderId="2" xfId="0" applyFont="1" applyFill="1" applyBorder="1" applyAlignment="1">
      <alignment horizontal="center" vertical="center" wrapText="1"/>
    </xf>
    <xf numFmtId="0" fontId="0" fillId="11" borderId="131" xfId="0" applyFill="1" applyBorder="1" applyAlignment="1">
      <alignment horizontal="left" wrapText="1" indent="2"/>
    </xf>
    <xf numFmtId="0" fontId="0" fillId="11" borderId="32" xfId="0" applyFill="1" applyBorder="1" applyAlignment="1">
      <alignment horizontal="center" wrapText="1"/>
    </xf>
    <xf numFmtId="0" fontId="0" fillId="5" borderId="0" xfId="0" applyFill="1" applyAlignment="1">
      <alignment horizontal="center" wrapText="1"/>
    </xf>
    <xf numFmtId="1" fontId="0" fillId="11" borderId="32" xfId="0" applyNumberFormat="1" applyFill="1" applyBorder="1" applyAlignment="1">
      <alignment horizontal="center" wrapText="1"/>
    </xf>
    <xf numFmtId="1" fontId="0" fillId="0" borderId="0" xfId="0" applyNumberFormat="1"/>
    <xf numFmtId="0" fontId="0" fillId="11" borderId="132" xfId="0" applyFill="1" applyBorder="1" applyAlignment="1">
      <alignment horizontal="left" wrapText="1" indent="2"/>
    </xf>
    <xf numFmtId="0" fontId="0" fillId="11" borderId="133" xfId="0" applyFill="1" applyBorder="1" applyAlignment="1">
      <alignment horizontal="left" wrapText="1" indent="2"/>
    </xf>
    <xf numFmtId="0" fontId="0" fillId="11" borderId="33" xfId="0" applyFill="1" applyBorder="1" applyAlignment="1">
      <alignment horizontal="center" wrapText="1"/>
    </xf>
    <xf numFmtId="0" fontId="0" fillId="5" borderId="22" xfId="0" applyFill="1" applyBorder="1" applyAlignment="1">
      <alignment horizontal="right" vertical="center" wrapText="1"/>
    </xf>
    <xf numFmtId="1" fontId="0" fillId="5" borderId="22" xfId="0" applyNumberFormat="1" applyFill="1" applyBorder="1" applyAlignment="1">
      <alignment horizontal="center" wrapText="1"/>
    </xf>
    <xf numFmtId="1" fontId="0" fillId="5" borderId="18" xfId="0" applyNumberFormat="1" applyFill="1" applyBorder="1" applyAlignment="1">
      <alignment horizontal="center" wrapText="1"/>
    </xf>
    <xf numFmtId="1" fontId="0" fillId="5" borderId="0" xfId="0" applyNumberFormat="1" applyFill="1" applyAlignment="1">
      <alignment horizontal="center" wrapText="1"/>
    </xf>
    <xf numFmtId="0" fontId="0" fillId="0" borderId="37" xfId="0" applyBorder="1"/>
    <xf numFmtId="0" fontId="0" fillId="0" borderId="38" xfId="0" applyBorder="1"/>
    <xf numFmtId="0" fontId="0" fillId="0" borderId="39" xfId="0" applyBorder="1"/>
    <xf numFmtId="0" fontId="0" fillId="11" borderId="47" xfId="0" applyFill="1" applyBorder="1" applyAlignment="1">
      <alignment horizontal="center" wrapText="1"/>
    </xf>
    <xf numFmtId="1" fontId="0" fillId="11" borderId="74" xfId="0" applyNumberFormat="1" applyFill="1" applyBorder="1" applyAlignment="1">
      <alignment horizontal="center" wrapText="1"/>
    </xf>
    <xf numFmtId="0" fontId="0" fillId="11" borderId="48" xfId="0" applyFill="1" applyBorder="1" applyAlignment="1">
      <alignment horizontal="center" wrapText="1"/>
    </xf>
    <xf numFmtId="1" fontId="0" fillId="11" borderId="33" xfId="0" applyNumberFormat="1" applyFill="1" applyBorder="1" applyAlignment="1">
      <alignment horizontal="center" wrapText="1"/>
    </xf>
    <xf numFmtId="0" fontId="18" fillId="5" borderId="0" xfId="0" applyFont="1" applyFill="1"/>
    <xf numFmtId="0" fontId="3" fillId="5" borderId="0" xfId="0" applyFont="1" applyFill="1"/>
    <xf numFmtId="0" fontId="0" fillId="5" borderId="23" xfId="0" applyFill="1" applyBorder="1"/>
    <xf numFmtId="0" fontId="0" fillId="5" borderId="47" xfId="0" applyFill="1" applyBorder="1" applyAlignment="1">
      <alignment horizontal="center" vertical="center" wrapText="1"/>
    </xf>
    <xf numFmtId="0" fontId="0" fillId="5" borderId="58" xfId="0" applyFill="1" applyBorder="1" applyAlignment="1">
      <alignment horizontal="center" vertical="center" wrapText="1"/>
    </xf>
    <xf numFmtId="0" fontId="0" fillId="5" borderId="59" xfId="0" applyFill="1" applyBorder="1" applyAlignment="1">
      <alignment horizontal="center" vertical="center" wrapText="1"/>
    </xf>
    <xf numFmtId="0" fontId="0" fillId="0" borderId="56" xfId="0" applyBorder="1"/>
    <xf numFmtId="1" fontId="0" fillId="0" borderId="65" xfId="0" applyNumberFormat="1" applyBorder="1"/>
    <xf numFmtId="0" fontId="0" fillId="0" borderId="57" xfId="0" applyBorder="1"/>
    <xf numFmtId="0" fontId="0" fillId="0" borderId="71" xfId="0" applyBorder="1" applyAlignment="1">
      <alignment horizontal="center"/>
    </xf>
    <xf numFmtId="0" fontId="0" fillId="0" borderId="60" xfId="0" applyBorder="1"/>
    <xf numFmtId="0" fontId="0" fillId="0" borderId="69" xfId="0" applyBorder="1"/>
    <xf numFmtId="0" fontId="0" fillId="0" borderId="70" xfId="0" applyBorder="1"/>
    <xf numFmtId="0" fontId="0" fillId="0" borderId="48" xfId="0" applyBorder="1"/>
    <xf numFmtId="1" fontId="0" fillId="0" borderId="66" xfId="0" applyNumberFormat="1" applyBorder="1"/>
    <xf numFmtId="0" fontId="0" fillId="0" borderId="45" xfId="0" applyBorder="1"/>
    <xf numFmtId="0" fontId="0" fillId="0" borderId="72" xfId="0" applyBorder="1" applyAlignment="1">
      <alignment horizontal="center"/>
    </xf>
    <xf numFmtId="0" fontId="0" fillId="0" borderId="61" xfId="0" applyBorder="1"/>
    <xf numFmtId="0" fontId="0" fillId="0" borderId="49" xfId="0" applyBorder="1"/>
    <xf numFmtId="1" fontId="0" fillId="0" borderId="62" xfId="0" applyNumberFormat="1" applyBorder="1"/>
    <xf numFmtId="0" fontId="0" fillId="0" borderId="63" xfId="0" applyBorder="1"/>
    <xf numFmtId="0" fontId="0" fillId="0" borderId="73" xfId="0" applyBorder="1"/>
    <xf numFmtId="0" fontId="0" fillId="0" borderId="64" xfId="0" applyBorder="1"/>
    <xf numFmtId="0" fontId="0" fillId="3" borderId="0" xfId="0" applyFill="1"/>
    <xf numFmtId="0" fontId="0" fillId="14" borderId="0" xfId="0" applyFill="1"/>
    <xf numFmtId="0" fontId="32" fillId="0" borderId="0" xfId="4" applyFont="1" applyFill="1" applyAlignment="1">
      <alignment vertical="center" wrapText="1"/>
    </xf>
    <xf numFmtId="0" fontId="42" fillId="0" borderId="0" xfId="4" applyFont="1" applyFill="1" applyAlignment="1">
      <alignment vertical="center"/>
    </xf>
    <xf numFmtId="1" fontId="56" fillId="5" borderId="0" xfId="0" applyNumberFormat="1" applyFont="1" applyFill="1" applyAlignment="1">
      <alignment horizontal="center" wrapText="1"/>
    </xf>
    <xf numFmtId="0" fontId="0" fillId="11" borderId="27" xfId="0" applyFill="1" applyBorder="1" applyAlignment="1">
      <alignment horizontal="left" vertical="center" wrapText="1"/>
    </xf>
    <xf numFmtId="0" fontId="58" fillId="8" borderId="0" xfId="2" applyFont="1" applyFill="1" applyBorder="1" applyAlignment="1" applyProtection="1">
      <alignment vertical="center" wrapText="1"/>
    </xf>
    <xf numFmtId="0" fontId="58" fillId="0" borderId="0" xfId="2" applyFont="1" applyFill="1" applyBorder="1" applyAlignment="1">
      <alignment vertical="center" wrapText="1"/>
    </xf>
    <xf numFmtId="0" fontId="58" fillId="8" borderId="0" xfId="2" applyFont="1" applyFill="1" applyBorder="1" applyAlignment="1">
      <alignment vertical="center" wrapText="1"/>
    </xf>
    <xf numFmtId="0" fontId="0" fillId="11" borderId="161" xfId="0" applyFill="1" applyBorder="1" applyAlignment="1">
      <alignment horizontal="center" vertical="center"/>
    </xf>
    <xf numFmtId="0" fontId="10" fillId="9" borderId="161" xfId="5" applyFont="1" applyFill="1" applyBorder="1" applyAlignment="1" applyProtection="1">
      <alignment horizontal="center" vertical="center"/>
    </xf>
    <xf numFmtId="1" fontId="0" fillId="11" borderId="161" xfId="0" applyNumberFormat="1" applyFill="1" applyBorder="1" applyAlignment="1">
      <alignment horizontal="center" vertical="center"/>
    </xf>
    <xf numFmtId="1" fontId="21" fillId="0" borderId="162" xfId="0" applyNumberFormat="1" applyFont="1" applyBorder="1" applyAlignment="1" applyProtection="1">
      <alignment horizontal="center" vertical="center"/>
      <protection locked="0"/>
    </xf>
    <xf numFmtId="1" fontId="0" fillId="11" borderId="128" xfId="0" applyNumberFormat="1" applyFill="1" applyBorder="1" applyAlignment="1">
      <alignment horizontal="center" vertical="center"/>
    </xf>
    <xf numFmtId="170" fontId="0" fillId="11" borderId="21" xfId="0" applyNumberFormat="1" applyFill="1" applyBorder="1" applyAlignment="1">
      <alignment vertical="center"/>
    </xf>
    <xf numFmtId="170" fontId="0" fillId="11" borderId="148" xfId="0" applyNumberFormat="1" applyFill="1" applyBorder="1" applyAlignment="1">
      <alignment vertical="center"/>
    </xf>
    <xf numFmtId="170" fontId="0" fillId="11" borderId="146" xfId="0" applyNumberFormat="1" applyFill="1" applyBorder="1" applyAlignment="1">
      <alignment vertical="center"/>
    </xf>
    <xf numFmtId="170" fontId="0" fillId="11" borderId="164" xfId="0" applyNumberFormat="1" applyFill="1" applyBorder="1" applyAlignment="1">
      <alignment vertical="center"/>
    </xf>
    <xf numFmtId="170" fontId="0" fillId="11" borderId="165" xfId="0" quotePrefix="1" applyNumberFormat="1" applyFill="1" applyBorder="1" applyAlignment="1">
      <alignment horizontal="right" vertical="center"/>
    </xf>
    <xf numFmtId="170" fontId="0" fillId="11" borderId="166" xfId="0" applyNumberFormat="1" applyFill="1" applyBorder="1" applyAlignment="1">
      <alignment vertical="center"/>
    </xf>
    <xf numFmtId="0" fontId="0" fillId="11" borderId="128" xfId="0" applyFill="1" applyBorder="1" applyAlignment="1">
      <alignment horizontal="center" vertical="center"/>
    </xf>
    <xf numFmtId="170" fontId="0" fillId="11" borderId="148" xfId="0" quotePrefix="1" applyNumberFormat="1" applyFill="1" applyBorder="1" applyAlignment="1">
      <alignment horizontal="right" vertical="center"/>
    </xf>
    <xf numFmtId="170" fontId="0" fillId="11" borderId="165" xfId="0" applyNumberFormat="1" applyFill="1" applyBorder="1" applyAlignment="1">
      <alignment vertical="center"/>
    </xf>
    <xf numFmtId="0" fontId="10" fillId="9" borderId="128" xfId="5" applyFont="1" applyFill="1" applyBorder="1" applyAlignment="1" applyProtection="1">
      <alignment vertical="center"/>
    </xf>
    <xf numFmtId="170" fontId="0" fillId="9" borderId="21" xfId="0" applyNumberFormat="1" applyFill="1" applyBorder="1" applyAlignment="1">
      <alignment vertical="center"/>
    </xf>
    <xf numFmtId="170" fontId="0" fillId="9" borderId="148" xfId="0" applyNumberFormat="1" applyFill="1" applyBorder="1" applyAlignment="1">
      <alignment vertical="center"/>
    </xf>
    <xf numFmtId="170" fontId="0" fillId="9" borderId="146" xfId="0" applyNumberFormat="1" applyFill="1" applyBorder="1" applyAlignment="1">
      <alignment vertical="center"/>
    </xf>
    <xf numFmtId="170" fontId="0" fillId="9" borderId="142" xfId="0" applyNumberFormat="1" applyFill="1" applyBorder="1" applyAlignment="1">
      <alignment vertical="center"/>
    </xf>
    <xf numFmtId="170" fontId="0" fillId="9" borderId="132" xfId="0" applyNumberFormat="1" applyFill="1" applyBorder="1" applyAlignment="1">
      <alignment vertical="center"/>
    </xf>
    <xf numFmtId="170" fontId="0" fillId="11" borderId="142" xfId="0" applyNumberFormat="1" applyFill="1" applyBorder="1" applyAlignment="1">
      <alignment vertical="center"/>
    </xf>
    <xf numFmtId="170" fontId="0" fillId="11" borderId="132" xfId="0" applyNumberFormat="1" applyFill="1" applyBorder="1" applyAlignment="1">
      <alignment vertical="center"/>
    </xf>
    <xf numFmtId="1" fontId="0" fillId="11" borderId="163" xfId="0" applyNumberFormat="1" applyFill="1" applyBorder="1" applyAlignment="1">
      <alignment horizontal="center" vertical="center"/>
    </xf>
    <xf numFmtId="1" fontId="0" fillId="11" borderId="144" xfId="0" applyNumberFormat="1" applyFill="1" applyBorder="1" applyAlignment="1">
      <alignment horizontal="center" vertical="center"/>
    </xf>
    <xf numFmtId="170" fontId="0" fillId="11" borderId="99" xfId="0" applyNumberFormat="1" applyFill="1" applyBorder="1" applyAlignment="1">
      <alignment vertical="center"/>
    </xf>
    <xf numFmtId="170" fontId="0" fillId="11" borderId="149" xfId="0" applyNumberFormat="1" applyFill="1" applyBorder="1" applyAlignment="1">
      <alignment vertical="center"/>
    </xf>
    <xf numFmtId="170" fontId="0" fillId="11" borderId="147" xfId="0" applyNumberFormat="1" applyFill="1" applyBorder="1" applyAlignment="1">
      <alignment vertical="center"/>
    </xf>
    <xf numFmtId="170" fontId="0" fillId="11" borderId="145" xfId="0" applyNumberFormat="1" applyFill="1" applyBorder="1" applyAlignment="1">
      <alignment vertical="center"/>
    </xf>
    <xf numFmtId="170" fontId="0" fillId="11" borderId="133" xfId="0" applyNumberFormat="1" applyFill="1" applyBorder="1" applyAlignment="1">
      <alignment vertical="center"/>
    </xf>
    <xf numFmtId="0" fontId="15" fillId="9" borderId="141" xfId="5" applyFont="1" applyFill="1" applyBorder="1" applyAlignment="1" applyProtection="1">
      <alignment vertical="top"/>
    </xf>
    <xf numFmtId="0" fontId="0" fillId="11" borderId="130" xfId="0" applyFill="1" applyBorder="1" applyAlignment="1">
      <alignment horizontal="left" vertical="center" wrapText="1" indent="1"/>
    </xf>
    <xf numFmtId="0" fontId="10" fillId="9" borderId="162" xfId="5" applyFont="1" applyFill="1" applyBorder="1" applyAlignment="1" applyProtection="1">
      <alignment vertical="center"/>
    </xf>
    <xf numFmtId="1" fontId="0" fillId="11" borderId="171" xfId="0" applyNumberFormat="1" applyFill="1" applyBorder="1" applyAlignment="1">
      <alignment horizontal="center" vertical="center" wrapText="1"/>
    </xf>
    <xf numFmtId="170" fontId="0" fillId="11" borderId="171" xfId="0" applyNumberFormat="1" applyFill="1" applyBorder="1" applyAlignment="1">
      <alignment vertical="center"/>
    </xf>
    <xf numFmtId="1" fontId="0" fillId="11" borderId="172" xfId="0" applyNumberFormat="1" applyFill="1" applyBorder="1" applyAlignment="1">
      <alignment horizontal="center" vertical="center" wrapText="1"/>
    </xf>
    <xf numFmtId="170" fontId="0" fillId="11" borderId="172" xfId="0" applyNumberFormat="1" applyFill="1" applyBorder="1" applyAlignment="1">
      <alignment vertical="center"/>
    </xf>
    <xf numFmtId="0" fontId="0" fillId="11" borderId="19" xfId="0" applyFill="1" applyBorder="1" applyAlignment="1">
      <alignment horizontal="left" vertical="center" wrapText="1"/>
    </xf>
    <xf numFmtId="1" fontId="0" fillId="11" borderId="173" xfId="0" applyNumberFormat="1" applyFill="1" applyBorder="1" applyAlignment="1">
      <alignment horizontal="center" vertical="center" wrapText="1"/>
    </xf>
    <xf numFmtId="170" fontId="0" fillId="11" borderId="173" xfId="0" applyNumberFormat="1" applyFill="1" applyBorder="1" applyAlignment="1">
      <alignment vertical="center"/>
    </xf>
    <xf numFmtId="1" fontId="21" fillId="0" borderId="42" xfId="0" applyNumberFormat="1" applyFont="1" applyBorder="1" applyAlignment="1" applyProtection="1">
      <alignment horizontal="left" vertical="center"/>
      <protection locked="0"/>
    </xf>
    <xf numFmtId="1" fontId="21" fillId="0" borderId="43" xfId="0" applyNumberFormat="1" applyFont="1" applyBorder="1" applyAlignment="1" applyProtection="1">
      <alignment horizontal="center"/>
      <protection locked="0"/>
    </xf>
    <xf numFmtId="1" fontId="21" fillId="0" borderId="174" xfId="0" applyNumberFormat="1" applyFont="1" applyBorder="1" applyAlignment="1" applyProtection="1">
      <alignment horizontal="center"/>
      <protection locked="0"/>
    </xf>
    <xf numFmtId="1" fontId="21" fillId="0" borderId="175" xfId="0" applyNumberFormat="1" applyFont="1" applyBorder="1" applyAlignment="1" applyProtection="1">
      <alignment horizontal="left" vertical="center"/>
      <protection locked="0"/>
    </xf>
    <xf numFmtId="1" fontId="21" fillId="0" borderId="57" xfId="0" applyNumberFormat="1" applyFont="1" applyBorder="1" applyAlignment="1" applyProtection="1">
      <alignment horizontal="center"/>
      <protection locked="0"/>
    </xf>
    <xf numFmtId="1" fontId="21" fillId="0" borderId="176" xfId="0" applyNumberFormat="1" applyFont="1" applyBorder="1" applyAlignment="1" applyProtection="1">
      <alignment horizontal="center"/>
      <protection locked="0"/>
    </xf>
    <xf numFmtId="1" fontId="21" fillId="0" borderId="44" xfId="0" applyNumberFormat="1" applyFont="1" applyBorder="1" applyAlignment="1" applyProtection="1">
      <alignment horizontal="left" vertical="center"/>
      <protection locked="0"/>
    </xf>
    <xf numFmtId="1" fontId="21" fillId="0" borderId="45" xfId="0" applyNumberFormat="1" applyFont="1" applyBorder="1" applyAlignment="1" applyProtection="1">
      <alignment horizontal="center"/>
      <protection locked="0"/>
    </xf>
    <xf numFmtId="1" fontId="21" fillId="0" borderId="177" xfId="0" applyNumberFormat="1" applyFont="1" applyBorder="1" applyAlignment="1" applyProtection="1">
      <alignment horizontal="center"/>
      <protection locked="0"/>
    </xf>
    <xf numFmtId="0" fontId="20" fillId="0" borderId="92" xfId="0" applyFont="1" applyBorder="1" applyAlignment="1" applyProtection="1">
      <alignment horizontal="center" vertical="center"/>
      <protection locked="0"/>
    </xf>
    <xf numFmtId="0" fontId="20" fillId="0" borderId="93" xfId="0" applyFont="1" applyBorder="1" applyAlignment="1">
      <alignment horizontal="center" vertical="center"/>
    </xf>
    <xf numFmtId="0" fontId="61" fillId="17" borderId="79" xfId="0" applyFont="1" applyFill="1" applyBorder="1" applyAlignment="1">
      <alignment vertical="top"/>
    </xf>
    <xf numFmtId="0" fontId="12" fillId="12" borderId="85" xfId="0" applyFont="1" applyFill="1" applyBorder="1" applyAlignment="1">
      <alignment horizontal="left" vertical="center" wrapText="1" indent="1"/>
    </xf>
    <xf numFmtId="0" fontId="12" fillId="11" borderId="86" xfId="0" applyFont="1" applyFill="1" applyBorder="1" applyAlignment="1">
      <alignment horizontal="left" vertical="center" wrapText="1" indent="1"/>
    </xf>
    <xf numFmtId="0" fontId="58" fillId="8" borderId="0" xfId="2" applyFont="1" applyFill="1" applyBorder="1" applyAlignment="1">
      <alignment vertical="center" wrapText="1"/>
    </xf>
    <xf numFmtId="0" fontId="9" fillId="9" borderId="11" xfId="4" applyFont="1" applyFill="1" applyBorder="1" applyAlignment="1">
      <alignment horizontal="center" vertical="center"/>
    </xf>
    <xf numFmtId="0" fontId="9" fillId="9" borderId="12" xfId="4" applyFont="1" applyFill="1" applyBorder="1" applyAlignment="1">
      <alignment horizontal="center" vertical="center"/>
    </xf>
    <xf numFmtId="0" fontId="9" fillId="9" borderId="13" xfId="4" applyFont="1" applyFill="1" applyBorder="1" applyAlignment="1">
      <alignment horizontal="center" vertical="center"/>
    </xf>
    <xf numFmtId="0" fontId="32" fillId="12" borderId="0" xfId="0" applyFont="1" applyFill="1" applyAlignment="1">
      <alignment horizontal="left" vertical="top" wrapText="1"/>
    </xf>
    <xf numFmtId="0" fontId="22" fillId="12" borderId="0" xfId="0" applyFont="1" applyFill="1" applyAlignment="1">
      <alignment horizontal="left" vertical="top" wrapText="1"/>
    </xf>
    <xf numFmtId="0" fontId="22" fillId="12" borderId="0" xfId="0" quotePrefix="1" applyFont="1" applyFill="1" applyAlignment="1">
      <alignment horizontal="left" vertical="top" wrapText="1"/>
    </xf>
    <xf numFmtId="0" fontId="58" fillId="8" borderId="0" xfId="2" applyFont="1" applyFill="1" applyBorder="1" applyAlignment="1">
      <alignment horizontal="left" vertical="center" wrapText="1"/>
    </xf>
    <xf numFmtId="0" fontId="0" fillId="12" borderId="0" xfId="0" quotePrefix="1" applyFill="1" applyAlignment="1">
      <alignment horizontal="left" vertical="top" wrapText="1"/>
    </xf>
    <xf numFmtId="0" fontId="7" fillId="9" borderId="17" xfId="4" applyFill="1" applyBorder="1" applyAlignment="1" applyProtection="1">
      <alignment horizontal="center" vertical="center" wrapText="1"/>
    </xf>
    <xf numFmtId="0" fontId="7" fillId="9" borderId="22" xfId="4" applyFill="1" applyBorder="1" applyAlignment="1" applyProtection="1">
      <alignment horizontal="center" vertical="center" wrapText="1"/>
    </xf>
    <xf numFmtId="0" fontId="7" fillId="9" borderId="18" xfId="4" applyFill="1" applyBorder="1" applyAlignment="1" applyProtection="1">
      <alignment horizontal="center" vertical="center" wrapText="1"/>
    </xf>
    <xf numFmtId="0" fontId="7" fillId="9" borderId="19" xfId="4" applyFill="1" applyBorder="1" applyAlignment="1" applyProtection="1">
      <alignment horizontal="center" vertical="center" wrapText="1"/>
    </xf>
    <xf numFmtId="0" fontId="7" fillId="9" borderId="23" xfId="4" applyFill="1" applyBorder="1" applyAlignment="1" applyProtection="1">
      <alignment horizontal="center" vertical="center" wrapText="1"/>
    </xf>
    <xf numFmtId="0" fontId="7" fillId="9" borderId="20" xfId="4" applyFill="1" applyBorder="1" applyAlignment="1" applyProtection="1">
      <alignment horizontal="center" vertical="center" wrapText="1"/>
    </xf>
    <xf numFmtId="0" fontId="7" fillId="9" borderId="2" xfId="4" applyFill="1" applyBorder="1" applyAlignment="1" applyProtection="1">
      <alignment horizontal="center" vertical="center" wrapText="1"/>
    </xf>
    <xf numFmtId="0" fontId="12" fillId="12" borderId="84" xfId="0" applyFont="1" applyFill="1" applyBorder="1" applyAlignment="1">
      <alignment horizontal="left" vertical="center" wrapText="1" indent="1"/>
    </xf>
    <xf numFmtId="0" fontId="12" fillId="12" borderId="86" xfId="0" applyFont="1" applyFill="1" applyBorder="1" applyAlignment="1">
      <alignment horizontal="left" vertical="center" wrapText="1" indent="1"/>
    </xf>
    <xf numFmtId="0" fontId="0" fillId="12" borderId="88" xfId="0" applyFill="1" applyBorder="1" applyAlignment="1">
      <alignment horizontal="center" vertical="center"/>
    </xf>
    <xf numFmtId="0" fontId="0" fillId="12" borderId="91" xfId="0" applyFill="1" applyBorder="1" applyAlignment="1">
      <alignment horizontal="center" vertical="center"/>
    </xf>
    <xf numFmtId="0" fontId="0" fillId="12" borderId="89" xfId="0" applyFill="1" applyBorder="1" applyAlignment="1">
      <alignment horizontal="center" vertical="center"/>
    </xf>
    <xf numFmtId="0" fontId="0" fillId="12" borderId="92" xfId="0" applyFill="1" applyBorder="1" applyAlignment="1">
      <alignment horizontal="center" vertical="center"/>
    </xf>
    <xf numFmtId="1" fontId="4" fillId="11" borderId="40" xfId="0" applyNumberFormat="1" applyFont="1" applyFill="1" applyBorder="1" applyAlignment="1">
      <alignment horizontal="center" vertical="center" wrapText="1"/>
    </xf>
    <xf numFmtId="1" fontId="4" fillId="11" borderId="76" xfId="0" applyNumberFormat="1" applyFont="1" applyFill="1" applyBorder="1" applyAlignment="1">
      <alignment horizontal="center" vertical="center" wrapText="1"/>
    </xf>
    <xf numFmtId="0" fontId="0" fillId="11" borderId="43" xfId="0" applyFill="1" applyBorder="1" applyAlignment="1">
      <alignment horizontal="center" vertical="center" wrapText="1"/>
    </xf>
    <xf numFmtId="0" fontId="0" fillId="11" borderId="45" xfId="0" applyFill="1" applyBorder="1" applyAlignment="1">
      <alignment horizontal="center" vertical="center" wrapText="1"/>
    </xf>
    <xf numFmtId="0" fontId="7" fillId="9" borderId="24" xfId="4" applyFill="1" applyBorder="1" applyAlignment="1" applyProtection="1">
      <alignment horizontal="center" vertical="center" wrapText="1"/>
    </xf>
    <xf numFmtId="0" fontId="7" fillId="9" borderId="25" xfId="4" applyFill="1" applyBorder="1" applyAlignment="1" applyProtection="1">
      <alignment horizontal="center" vertical="center" wrapText="1"/>
    </xf>
    <xf numFmtId="0" fontId="7" fillId="9" borderId="26" xfId="4" applyFill="1" applyBorder="1" applyAlignment="1" applyProtection="1">
      <alignment horizontal="center" vertical="center" wrapText="1"/>
    </xf>
    <xf numFmtId="0" fontId="21" fillId="14" borderId="54" xfId="0" applyFont="1" applyFill="1" applyBorder="1" applyAlignment="1" applyProtection="1">
      <alignment horizontal="center"/>
      <protection locked="0"/>
    </xf>
    <xf numFmtId="0" fontId="21" fillId="14" borderId="55" xfId="0" applyFont="1" applyFill="1" applyBorder="1" applyAlignment="1" applyProtection="1">
      <alignment horizontal="center"/>
      <protection locked="0"/>
    </xf>
    <xf numFmtId="0" fontId="0" fillId="11" borderId="50" xfId="0" applyFill="1" applyBorder="1" applyAlignment="1">
      <alignment horizontal="left" wrapText="1"/>
    </xf>
    <xf numFmtId="0" fontId="0" fillId="11" borderId="97" xfId="0" applyFill="1" applyBorder="1" applyAlignment="1">
      <alignment horizontal="left" wrapText="1"/>
    </xf>
    <xf numFmtId="0" fontId="0" fillId="11" borderId="51" xfId="0" applyFill="1" applyBorder="1" applyAlignment="1">
      <alignment horizontal="left" wrapText="1"/>
    </xf>
    <xf numFmtId="0" fontId="0" fillId="11" borderId="54" xfId="0" applyFill="1" applyBorder="1" applyAlignment="1">
      <alignment horizontal="left" wrapText="1"/>
    </xf>
    <xf numFmtId="0" fontId="0" fillId="11" borderId="98" xfId="0" applyFill="1" applyBorder="1" applyAlignment="1">
      <alignment horizontal="left" wrapText="1"/>
    </xf>
    <xf numFmtId="0" fontId="0" fillId="11" borderId="55" xfId="0" applyFill="1" applyBorder="1" applyAlignment="1">
      <alignment horizontal="left" wrapText="1"/>
    </xf>
    <xf numFmtId="0" fontId="7" fillId="9" borderId="40" xfId="4" applyFill="1" applyBorder="1" applyAlignment="1" applyProtection="1">
      <alignment horizontal="center" vertical="center" wrapText="1"/>
    </xf>
    <xf numFmtId="0" fontId="7" fillId="9" borderId="41" xfId="4" applyFill="1" applyBorder="1" applyAlignment="1" applyProtection="1">
      <alignment horizontal="center" vertical="center" wrapText="1"/>
    </xf>
    <xf numFmtId="0" fontId="0" fillId="11" borderId="134" xfId="0" applyFill="1" applyBorder="1" applyAlignment="1">
      <alignment horizontal="left" wrapText="1"/>
    </xf>
    <xf numFmtId="0" fontId="0" fillId="11" borderId="135" xfId="0" applyFill="1" applyBorder="1" applyAlignment="1">
      <alignment horizontal="left" wrapText="1"/>
    </xf>
    <xf numFmtId="0" fontId="0" fillId="11" borderId="136" xfId="0" applyFill="1" applyBorder="1" applyAlignment="1">
      <alignment horizontal="left" wrapText="1"/>
    </xf>
    <xf numFmtId="0" fontId="0" fillId="11" borderId="17" xfId="0" applyFill="1" applyBorder="1" applyAlignment="1">
      <alignment horizontal="center" vertical="top" wrapText="1"/>
    </xf>
    <xf numFmtId="0" fontId="0" fillId="11" borderId="18" xfId="0" applyFill="1" applyBorder="1" applyAlignment="1">
      <alignment horizontal="center" vertical="top" wrapText="1"/>
    </xf>
    <xf numFmtId="0" fontId="0" fillId="11" borderId="137" xfId="0" applyFill="1" applyBorder="1" applyAlignment="1">
      <alignment wrapText="1"/>
    </xf>
    <xf numFmtId="0" fontId="0" fillId="11" borderId="68" xfId="0" applyFill="1" applyBorder="1" applyAlignment="1">
      <alignment wrapText="1"/>
    </xf>
    <xf numFmtId="0" fontId="0" fillId="11" borderId="138" xfId="0" applyFill="1" applyBorder="1" applyAlignment="1">
      <alignment wrapText="1"/>
    </xf>
    <xf numFmtId="0" fontId="0" fillId="11" borderId="19" xfId="0" applyFill="1" applyBorder="1" applyAlignment="1">
      <alignment horizontal="center" wrapText="1"/>
    </xf>
    <xf numFmtId="0" fontId="0" fillId="11" borderId="20" xfId="0" applyFill="1" applyBorder="1" applyAlignment="1">
      <alignment horizontal="center" wrapText="1"/>
    </xf>
    <xf numFmtId="0" fontId="12" fillId="11" borderId="100" xfId="0" applyFont="1" applyFill="1" applyBorder="1" applyAlignment="1">
      <alignment horizontal="left" vertical="center" wrapText="1"/>
    </xf>
    <xf numFmtId="0" fontId="12" fillId="11" borderId="101" xfId="0" applyFont="1" applyFill="1" applyBorder="1" applyAlignment="1">
      <alignment horizontal="left" vertical="center" wrapText="1"/>
    </xf>
    <xf numFmtId="1" fontId="0" fillId="11" borderId="102" xfId="0" applyNumberFormat="1" applyFill="1" applyBorder="1" applyAlignment="1">
      <alignment horizontal="center" vertical="center" wrapText="1"/>
    </xf>
    <xf numFmtId="1" fontId="0" fillId="11" borderId="103" xfId="0" applyNumberFormat="1" applyFill="1" applyBorder="1" applyAlignment="1">
      <alignment horizontal="center" vertical="center" wrapText="1"/>
    </xf>
    <xf numFmtId="1" fontId="0" fillId="11" borderId="104" xfId="0" applyNumberFormat="1" applyFill="1" applyBorder="1" applyAlignment="1">
      <alignment horizontal="center" vertical="center" wrapText="1"/>
    </xf>
    <xf numFmtId="1" fontId="0" fillId="11" borderId="105" xfId="0" applyNumberFormat="1" applyFill="1" applyBorder="1" applyAlignment="1">
      <alignment horizontal="center" vertical="center" wrapText="1"/>
    </xf>
    <xf numFmtId="0" fontId="21" fillId="14" borderId="50" xfId="0" applyFont="1" applyFill="1" applyBorder="1" applyAlignment="1" applyProtection="1">
      <alignment horizontal="center"/>
      <protection locked="0"/>
    </xf>
    <xf numFmtId="0" fontId="21" fillId="14" borderId="51" xfId="0" applyFont="1" applyFill="1" applyBorder="1" applyAlignment="1" applyProtection="1">
      <alignment horizontal="center"/>
      <protection locked="0"/>
    </xf>
    <xf numFmtId="0" fontId="21" fillId="14" borderId="52" xfId="0" applyFont="1" applyFill="1" applyBorder="1" applyAlignment="1" applyProtection="1">
      <alignment horizontal="center"/>
      <protection locked="0"/>
    </xf>
    <xf numFmtId="0" fontId="21" fillId="14" borderId="53" xfId="0" applyFont="1" applyFill="1" applyBorder="1" applyAlignment="1" applyProtection="1">
      <alignment horizontal="center"/>
      <protection locked="0"/>
    </xf>
    <xf numFmtId="0" fontId="21" fillId="14" borderId="48" xfId="0" applyFont="1" applyFill="1" applyBorder="1" applyAlignment="1" applyProtection="1">
      <alignment horizontal="center"/>
      <protection locked="0"/>
    </xf>
    <xf numFmtId="0" fontId="21" fillId="14" borderId="50" xfId="0" applyFont="1" applyFill="1" applyBorder="1" applyAlignment="1" applyProtection="1">
      <alignment horizontal="left"/>
      <protection locked="0"/>
    </xf>
    <xf numFmtId="0" fontId="21" fillId="14" borderId="51" xfId="0" applyFont="1" applyFill="1" applyBorder="1" applyAlignment="1" applyProtection="1">
      <alignment horizontal="left"/>
      <protection locked="0"/>
    </xf>
    <xf numFmtId="0" fontId="20" fillId="0" borderId="50" xfId="0" applyFont="1" applyBorder="1" applyAlignment="1" applyProtection="1">
      <alignment horizontal="center"/>
      <protection locked="0"/>
    </xf>
    <xf numFmtId="0" fontId="20" fillId="0" borderId="51" xfId="0" applyFont="1" applyBorder="1" applyAlignment="1" applyProtection="1">
      <alignment horizontal="center"/>
      <protection locked="0"/>
    </xf>
    <xf numFmtId="0" fontId="21" fillId="14" borderId="47" xfId="0" applyFont="1" applyFill="1" applyBorder="1" applyAlignment="1" applyProtection="1">
      <alignment horizontal="left"/>
      <protection locked="0"/>
    </xf>
    <xf numFmtId="1" fontId="0" fillId="11" borderId="106" xfId="0" applyNumberFormat="1" applyFill="1" applyBorder="1" applyAlignment="1">
      <alignment horizontal="center" vertical="center" wrapText="1"/>
    </xf>
    <xf numFmtId="1" fontId="0" fillId="11" borderId="107" xfId="0" applyNumberFormat="1" applyFill="1" applyBorder="1" applyAlignment="1">
      <alignment horizontal="center" vertical="center" wrapText="1"/>
    </xf>
    <xf numFmtId="0" fontId="9" fillId="9" borderId="11" xfId="4" applyFont="1" applyFill="1" applyBorder="1" applyAlignment="1" applyProtection="1">
      <alignment horizontal="center" vertical="center"/>
    </xf>
    <xf numFmtId="0" fontId="9" fillId="9" borderId="12" xfId="4" applyFont="1" applyFill="1" applyBorder="1" applyAlignment="1" applyProtection="1">
      <alignment horizontal="center" vertical="center"/>
    </xf>
    <xf numFmtId="0" fontId="9" fillId="9" borderId="75" xfId="4" applyFont="1" applyFill="1" applyBorder="1" applyAlignment="1" applyProtection="1">
      <alignment horizontal="center" vertical="center"/>
    </xf>
    <xf numFmtId="0" fontId="58" fillId="8" borderId="0" xfId="2" applyFont="1" applyFill="1" applyBorder="1" applyAlignment="1" applyProtection="1">
      <alignment horizontal="left" vertical="center" wrapText="1"/>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0" fillId="0" borderId="26" xfId="0" applyFont="1" applyBorder="1" applyAlignment="1" applyProtection="1">
      <alignment horizontal="left" vertical="center" wrapText="1"/>
      <protection locked="0"/>
    </xf>
    <xf numFmtId="0" fontId="0" fillId="11" borderId="42" xfId="0" applyFill="1" applyBorder="1" applyAlignment="1">
      <alignment horizontal="center" vertical="center" wrapText="1"/>
    </xf>
    <xf numFmtId="0" fontId="0" fillId="11" borderId="44" xfId="0" applyFill="1" applyBorder="1" applyAlignment="1">
      <alignment horizontal="center" vertical="center" wrapText="1"/>
    </xf>
    <xf numFmtId="0" fontId="12" fillId="12" borderId="90" xfId="0" applyFont="1" applyFill="1" applyBorder="1" applyAlignment="1">
      <alignment horizontal="center" vertical="center"/>
    </xf>
    <xf numFmtId="0" fontId="12" fillId="12" borderId="93" xfId="0" applyFont="1" applyFill="1" applyBorder="1" applyAlignment="1">
      <alignment horizontal="center" vertical="center"/>
    </xf>
    <xf numFmtId="0" fontId="7" fillId="9" borderId="76" xfId="4" applyFill="1" applyBorder="1" applyAlignment="1" applyProtection="1">
      <alignment horizontal="center" vertical="center" wrapText="1"/>
    </xf>
    <xf numFmtId="0" fontId="9" fillId="9" borderId="14" xfId="4" applyFont="1" applyFill="1" applyBorder="1" applyAlignment="1" applyProtection="1">
      <alignment horizontal="center" vertical="center" wrapText="1"/>
    </xf>
    <xf numFmtId="0" fontId="9" fillId="9" borderId="15" xfId="4" applyFont="1" applyFill="1" applyBorder="1" applyAlignment="1" applyProtection="1">
      <alignment horizontal="center" vertical="center" wrapText="1"/>
    </xf>
    <xf numFmtId="0" fontId="9" fillId="9" borderId="16" xfId="4" applyFont="1" applyFill="1" applyBorder="1" applyAlignment="1" applyProtection="1">
      <alignment horizontal="center" vertical="center" wrapText="1"/>
    </xf>
    <xf numFmtId="0" fontId="7" fillId="9" borderId="9" xfId="4" applyFill="1" applyBorder="1" applyAlignment="1" applyProtection="1">
      <alignment horizontal="center" vertical="center" wrapText="1"/>
    </xf>
    <xf numFmtId="0" fontId="7" fillId="9" borderId="3" xfId="4" applyFill="1" applyBorder="1" applyAlignment="1" applyProtection="1">
      <alignment horizontal="center" vertical="center" wrapText="1"/>
    </xf>
    <xf numFmtId="0" fontId="7" fillId="9" borderId="10" xfId="4" applyFill="1" applyBorder="1" applyAlignment="1" applyProtection="1">
      <alignment horizontal="center" vertical="center" wrapText="1"/>
    </xf>
    <xf numFmtId="0" fontId="38" fillId="5" borderId="0" xfId="0" applyFont="1" applyFill="1" applyAlignment="1">
      <alignment horizontal="left" vertical="center" wrapText="1"/>
    </xf>
    <xf numFmtId="0" fontId="41" fillId="5" borderId="0" xfId="0" applyFont="1" applyFill="1" applyAlignment="1">
      <alignment horizontal="left" vertical="center" wrapText="1"/>
    </xf>
    <xf numFmtId="0" fontId="0" fillId="5" borderId="0" xfId="0" applyFill="1" applyAlignment="1">
      <alignment horizontal="center"/>
    </xf>
    <xf numFmtId="0" fontId="0" fillId="11" borderId="162" xfId="0" applyFill="1" applyBorder="1" applyAlignment="1">
      <alignment horizontal="center" vertical="center"/>
    </xf>
    <xf numFmtId="0" fontId="0" fillId="11" borderId="128" xfId="0" applyFill="1" applyBorder="1" applyAlignment="1">
      <alignment horizontal="center" vertical="center"/>
    </xf>
    <xf numFmtId="0" fontId="0" fillId="11" borderId="134" xfId="0" applyFill="1" applyBorder="1" applyAlignment="1">
      <alignment horizontal="right"/>
    </xf>
    <xf numFmtId="0" fontId="0" fillId="11" borderId="135" xfId="0" applyFill="1" applyBorder="1" applyAlignment="1">
      <alignment horizontal="right"/>
    </xf>
    <xf numFmtId="0" fontId="0" fillId="11" borderId="169" xfId="0" applyFill="1" applyBorder="1" applyAlignment="1">
      <alignment horizontal="right"/>
    </xf>
    <xf numFmtId="0" fontId="0" fillId="11" borderId="67" xfId="0" applyFill="1" applyBorder="1" applyAlignment="1">
      <alignment horizontal="right"/>
    </xf>
    <xf numFmtId="0" fontId="0" fillId="11" borderId="137" xfId="0" applyFill="1" applyBorder="1" applyAlignment="1">
      <alignment horizontal="right"/>
    </xf>
    <xf numFmtId="0" fontId="0" fillId="11" borderId="68" xfId="0" applyFill="1" applyBorder="1" applyAlignment="1">
      <alignment horizontal="right"/>
    </xf>
    <xf numFmtId="0" fontId="0" fillId="5" borderId="0" xfId="0" applyFill="1" applyAlignment="1">
      <alignment horizontal="left" wrapText="1"/>
    </xf>
  </cellXfs>
  <cellStyles count="7">
    <cellStyle name="60 % - Accent5" xfId="5" builtinId="48"/>
    <cellStyle name="Accent5" xfId="4" builtinId="45"/>
    <cellStyle name="Lien hypertexte" xfId="3" builtinId="8"/>
    <cellStyle name="Milliers" xfId="1" builtinId="3"/>
    <cellStyle name="Normal" xfId="0" builtinId="0"/>
    <cellStyle name="Pourcentage" xfId="6" builtinId="5"/>
    <cellStyle name="Titre 1" xfId="2" builtinId="16"/>
  </cellStyles>
  <dxfs count="15">
    <dxf>
      <font>
        <color rgb="FFE7FAFC"/>
      </font>
    </dxf>
    <dxf>
      <font>
        <color rgb="FFE7FAFC"/>
      </font>
    </dxf>
    <dxf>
      <font>
        <color rgb="FFE7FAFC"/>
      </font>
    </dxf>
    <dxf>
      <font>
        <color rgb="FFE7FAFC"/>
      </font>
    </dxf>
    <dxf>
      <font>
        <color rgb="FFE7FAFC"/>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theme="2" tint="-9.9948118533890809E-2"/>
      </font>
      <fill>
        <patternFill>
          <bgColor theme="2"/>
        </patternFill>
      </fill>
    </dxf>
    <dxf>
      <font>
        <strike val="0"/>
        <color theme="2" tint="-9.9948118533890809E-2"/>
      </font>
      <fill>
        <patternFill>
          <bgColor theme="2"/>
        </patternFill>
      </fill>
    </dxf>
    <dxf>
      <font>
        <strike val="0"/>
        <color theme="2" tint="-9.9948118533890809E-2"/>
      </font>
      <fill>
        <patternFill>
          <bgColor theme="2"/>
        </patternFill>
      </fill>
    </dxf>
    <dxf>
      <font>
        <strike val="0"/>
        <color theme="2" tint="-9.9948118533890809E-2"/>
      </font>
      <fill>
        <patternFill>
          <bgColor theme="2"/>
        </patternFill>
      </fill>
    </dxf>
    <dxf>
      <font>
        <strike val="0"/>
        <color theme="2"/>
      </font>
      <fill>
        <patternFill>
          <bgColor theme="2"/>
        </patternFill>
      </fill>
    </dxf>
  </dxfs>
  <tableStyles count="0" defaultTableStyle="TableStyleMedium2" defaultPivotStyle="PivotStyleLight16"/>
  <colors>
    <mruColors>
      <color rgb="FFE7FAFC"/>
      <color rgb="FF1FB7C6"/>
      <color rgb="FF0B898F"/>
      <color rgb="FFE1E3E6"/>
      <color rgb="FFE7E6E6"/>
      <color rgb="FF363A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Gebrauchsanweisu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 Logistische daten'!A1"/></Relationships>
</file>

<file path=xl/drawings/_rels/drawing3.xml.rels><?xml version="1.0" encoding="UTF-8" standalone="yes"?>
<Relationships xmlns="http://schemas.openxmlformats.org/package/2006/relationships"><Relationship Id="rId3" Type="http://schemas.openxmlformats.org/officeDocument/2006/relationships/hyperlink" Target="#Gebrauchsanweisung!A1"/><Relationship Id="rId2" Type="http://schemas.openxmlformats.org/officeDocument/2006/relationships/hyperlink" Target="#'2. Kostensch&#228;tzugen tekn. Infra'!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hyperlink" Target="#'1. Logistische daten'!A1"/><Relationship Id="rId4" Type="http://schemas.openxmlformats.org/officeDocument/2006/relationships/hyperlink" Target="#Gebrauchsanweisung!A1"/></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920995</xdr:colOff>
      <xdr:row>1</xdr:row>
      <xdr:rowOff>152401</xdr:rowOff>
    </xdr:from>
    <xdr:to>
      <xdr:col>3</xdr:col>
      <xdr:colOff>1591326</xdr:colOff>
      <xdr:row>1</xdr:row>
      <xdr:rowOff>523876</xdr:rowOff>
    </xdr:to>
    <xdr:sp macro="" textlink="">
      <xdr:nvSpPr>
        <xdr:cNvPr id="2" name="Rectangle : coins arrondis 8">
          <a:hlinkClick xmlns:r="http://schemas.openxmlformats.org/officeDocument/2006/relationships" r:id="rId1"/>
          <a:extLst>
            <a:ext uri="{FF2B5EF4-FFF2-40B4-BE49-F238E27FC236}">
              <a16:creationId xmlns:a16="http://schemas.microsoft.com/office/drawing/2014/main" id="{8AD16307-B131-9E47-B8AC-42E7C94EF5B6}"/>
            </a:ext>
          </a:extLst>
        </xdr:cNvPr>
        <xdr:cNvSpPr/>
      </xdr:nvSpPr>
      <xdr:spPr>
        <a:xfrm>
          <a:off x="5207245" y="990601"/>
          <a:ext cx="2270531" cy="371475"/>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CH" sz="1400" i="0"/>
            <a:t>Zur</a:t>
          </a:r>
          <a:r>
            <a:rPr lang="fr-CH" sz="1400" i="1"/>
            <a:t> Gebrauchsanweisung</a:t>
          </a:r>
        </a:p>
      </xdr:txBody>
    </xdr:sp>
    <xdr:clientData/>
  </xdr:twoCellAnchor>
  <xdr:twoCellAnchor editAs="oneCell">
    <xdr:from>
      <xdr:col>1</xdr:col>
      <xdr:colOff>12700</xdr:colOff>
      <xdr:row>0</xdr:row>
      <xdr:rowOff>101600</xdr:rowOff>
    </xdr:from>
    <xdr:to>
      <xdr:col>1</xdr:col>
      <xdr:colOff>1358900</xdr:colOff>
      <xdr:row>0</xdr:row>
      <xdr:rowOff>769667</xdr:rowOff>
    </xdr:to>
    <xdr:pic>
      <xdr:nvPicPr>
        <xdr:cNvPr id="10" name="Image 9">
          <a:extLst>
            <a:ext uri="{FF2B5EF4-FFF2-40B4-BE49-F238E27FC236}">
              <a16:creationId xmlns:a16="http://schemas.microsoft.com/office/drawing/2014/main" id="{3E7CDAB4-8419-D041-90B5-0654A3BDBF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3362325</xdr:colOff>
      <xdr:row>1</xdr:row>
      <xdr:rowOff>171450</xdr:rowOff>
    </xdr:from>
    <xdr:to>
      <xdr:col>4</xdr:col>
      <xdr:colOff>0</xdr:colOff>
      <xdr:row>1</xdr:row>
      <xdr:rowOff>542925</xdr:rowOff>
    </xdr:to>
    <xdr:sp macro="" textlink="">
      <xdr:nvSpPr>
        <xdr:cNvPr id="4" name="Rectangle : coins arrondis 1">
          <a:hlinkClick xmlns:r="http://schemas.openxmlformats.org/officeDocument/2006/relationships" r:id="rId1"/>
          <a:extLst>
            <a:ext uri="{FF2B5EF4-FFF2-40B4-BE49-F238E27FC236}">
              <a16:creationId xmlns:a16="http://schemas.microsoft.com/office/drawing/2014/main" id="{EE7401F0-882D-4DB7-83DA-7BEF0CCDC478}"/>
            </a:ext>
          </a:extLst>
        </xdr:cNvPr>
        <xdr:cNvSpPr/>
      </xdr:nvSpPr>
      <xdr:spPr>
        <a:xfrm>
          <a:off x="3857625" y="1009650"/>
          <a:ext cx="3629025" cy="371475"/>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Zu</a:t>
          </a:r>
          <a:r>
            <a:rPr lang="fr-CH" sz="1400" baseline="0"/>
            <a:t> </a:t>
          </a:r>
          <a:r>
            <a:rPr lang="fr-CH" sz="1400" i="1" baseline="0"/>
            <a:t>1. Logistische und organisatorische Daten</a:t>
          </a:r>
          <a:endParaRPr lang="fr-CH" sz="1400" i="1"/>
        </a:p>
      </xdr:txBody>
    </xdr:sp>
    <xdr:clientData/>
  </xdr:twoCellAnchor>
  <xdr:twoCellAnchor editAs="oneCell">
    <xdr:from>
      <xdr:col>1</xdr:col>
      <xdr:colOff>12700</xdr:colOff>
      <xdr:row>0</xdr:row>
      <xdr:rowOff>101600</xdr:rowOff>
    </xdr:from>
    <xdr:to>
      <xdr:col>1</xdr:col>
      <xdr:colOff>1358900</xdr:colOff>
      <xdr:row>0</xdr:row>
      <xdr:rowOff>769667</xdr:rowOff>
    </xdr:to>
    <xdr:pic>
      <xdr:nvPicPr>
        <xdr:cNvPr id="3" name="Image 2">
          <a:extLst>
            <a:ext uri="{FF2B5EF4-FFF2-40B4-BE49-F238E27FC236}">
              <a16:creationId xmlns:a16="http://schemas.microsoft.com/office/drawing/2014/main" id="{D3CCB2A1-E6EE-422B-A553-681280E0E9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104775"/>
          <a:ext cx="1349375" cy="664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xdr:row>
      <xdr:rowOff>266700</xdr:rowOff>
    </xdr:from>
    <xdr:to>
      <xdr:col>7</xdr:col>
      <xdr:colOff>302315</xdr:colOff>
      <xdr:row>7</xdr:row>
      <xdr:rowOff>703023</xdr:rowOff>
    </xdr:to>
    <xdr:sp macro="" textlink="">
      <xdr:nvSpPr>
        <xdr:cNvPr id="98305" name="AutoShape 1">
          <a:extLst>
            <a:ext uri="{FF2B5EF4-FFF2-40B4-BE49-F238E27FC236}">
              <a16:creationId xmlns:a16="http://schemas.microsoft.com/office/drawing/2014/main" id="{6C51DAD1-2B8E-51F4-5C68-13EC0B842227}"/>
            </a:ext>
          </a:extLst>
        </xdr:cNvPr>
        <xdr:cNvSpPr>
          <a:spLocks noChangeAspect="1" noChangeArrowheads="1"/>
        </xdr:cNvSpPr>
      </xdr:nvSpPr>
      <xdr:spPr bwMode="auto">
        <a:xfrm>
          <a:off x="9334500" y="2019300"/>
          <a:ext cx="2628900" cy="3759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12700</xdr:colOff>
      <xdr:row>0</xdr:row>
      <xdr:rowOff>84675</xdr:rowOff>
    </xdr:from>
    <xdr:to>
      <xdr:col>1</xdr:col>
      <xdr:colOff>1354667</xdr:colOff>
      <xdr:row>0</xdr:row>
      <xdr:rowOff>772592</xdr:rowOff>
    </xdr:to>
    <xdr:pic>
      <xdr:nvPicPr>
        <xdr:cNvPr id="3" name="Image 2">
          <a:extLst>
            <a:ext uri="{FF2B5EF4-FFF2-40B4-BE49-F238E27FC236}">
              <a16:creationId xmlns:a16="http://schemas.microsoft.com/office/drawing/2014/main" id="{0FBE4AB2-3625-A54B-BFBB-F59E81CA6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783" y="84675"/>
          <a:ext cx="1341967" cy="681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342901</xdr:colOff>
      <xdr:row>1</xdr:row>
      <xdr:rowOff>177800</xdr:rowOff>
    </xdr:from>
    <xdr:to>
      <xdr:col>14</xdr:col>
      <xdr:colOff>241301</xdr:colOff>
      <xdr:row>1</xdr:row>
      <xdr:rowOff>539750</xdr:rowOff>
    </xdr:to>
    <xdr:sp macro="" textlink="">
      <xdr:nvSpPr>
        <xdr:cNvPr id="4" name="Rectangle : coins arrondis 3">
          <a:hlinkClick xmlns:r="http://schemas.openxmlformats.org/officeDocument/2006/relationships" r:id="rId2"/>
          <a:extLst>
            <a:ext uri="{FF2B5EF4-FFF2-40B4-BE49-F238E27FC236}">
              <a16:creationId xmlns:a16="http://schemas.microsoft.com/office/drawing/2014/main" id="{0C516590-1B8B-8E45-A689-26895B5EB5A0}"/>
            </a:ext>
          </a:extLst>
        </xdr:cNvPr>
        <xdr:cNvSpPr/>
      </xdr:nvSpPr>
      <xdr:spPr>
        <a:xfrm>
          <a:off x="9766301" y="1066800"/>
          <a:ext cx="5207000" cy="36195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Zu </a:t>
          </a:r>
          <a:r>
            <a:rPr lang="fr-CH" sz="1400" i="1"/>
            <a:t>2. Kostenschätzung der technischen Infrastruktur</a:t>
          </a:r>
        </a:p>
      </xdr:txBody>
    </xdr:sp>
    <xdr:clientData/>
  </xdr:twoCellAnchor>
  <xdr:twoCellAnchor>
    <xdr:from>
      <xdr:col>7</xdr:col>
      <xdr:colOff>161925</xdr:colOff>
      <xdr:row>1</xdr:row>
      <xdr:rowOff>161925</xdr:rowOff>
    </xdr:from>
    <xdr:to>
      <xdr:col>10</xdr:col>
      <xdr:colOff>210863</xdr:colOff>
      <xdr:row>1</xdr:row>
      <xdr:rowOff>530225</xdr:rowOff>
    </xdr:to>
    <xdr:sp macro="" textlink="">
      <xdr:nvSpPr>
        <xdr:cNvPr id="5" name="Rectangle : coins arrondis 4">
          <a:hlinkClick xmlns:r="http://schemas.openxmlformats.org/officeDocument/2006/relationships" r:id="rId3"/>
          <a:extLst>
            <a:ext uri="{FF2B5EF4-FFF2-40B4-BE49-F238E27FC236}">
              <a16:creationId xmlns:a16="http://schemas.microsoft.com/office/drawing/2014/main" id="{200F4B09-1058-44A0-923D-29D14D272C60}"/>
            </a:ext>
          </a:extLst>
        </xdr:cNvPr>
        <xdr:cNvSpPr/>
      </xdr:nvSpPr>
      <xdr:spPr>
        <a:xfrm>
          <a:off x="6324600" y="1047750"/>
          <a:ext cx="2420663" cy="368300"/>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CH" sz="1400"/>
            <a:t>Zur </a:t>
          </a:r>
          <a:r>
            <a:rPr lang="fr-CH" sz="1400" i="1"/>
            <a:t>Gebrauchsanweisung</a:t>
          </a:r>
          <a:endParaRPr lang="fr-CH"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293643</xdr:colOff>
      <xdr:row>1</xdr:row>
      <xdr:rowOff>177800</xdr:rowOff>
    </xdr:from>
    <xdr:to>
      <xdr:col>10</xdr:col>
      <xdr:colOff>219074</xdr:colOff>
      <xdr:row>1</xdr:row>
      <xdr:rowOff>539750</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79089BD6-4C8E-472E-A3A0-1F00B567955A}"/>
            </a:ext>
          </a:extLst>
        </xdr:cNvPr>
        <xdr:cNvSpPr/>
      </xdr:nvSpPr>
      <xdr:spPr>
        <a:xfrm>
          <a:off x="8504193" y="1016000"/>
          <a:ext cx="5307056" cy="36195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Zu </a:t>
          </a:r>
          <a:r>
            <a:rPr lang="fr-CH" sz="1400" i="1"/>
            <a:t>1. Logistische und organisatorische daten</a:t>
          </a:r>
        </a:p>
      </xdr:txBody>
    </xdr:sp>
    <xdr:clientData/>
  </xdr:twoCellAnchor>
  <xdr:twoCellAnchor editAs="oneCell">
    <xdr:from>
      <xdr:col>1</xdr:col>
      <xdr:colOff>12700</xdr:colOff>
      <xdr:row>0</xdr:row>
      <xdr:rowOff>101600</xdr:rowOff>
    </xdr:from>
    <xdr:to>
      <xdr:col>1</xdr:col>
      <xdr:colOff>1358900</xdr:colOff>
      <xdr:row>0</xdr:row>
      <xdr:rowOff>769667</xdr:rowOff>
    </xdr:to>
    <xdr:pic>
      <xdr:nvPicPr>
        <xdr:cNvPr id="4" name="Image 3">
          <a:extLst>
            <a:ext uri="{FF2B5EF4-FFF2-40B4-BE49-F238E27FC236}">
              <a16:creationId xmlns:a16="http://schemas.microsoft.com/office/drawing/2014/main" id="{7ED62D3A-9D93-3F47-B320-F8D1FEE0D3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37</xdr:row>
          <xdr:rowOff>12700</xdr:rowOff>
        </xdr:from>
        <xdr:to>
          <xdr:col>6</xdr:col>
          <xdr:colOff>958850</xdr:colOff>
          <xdr:row>45</xdr:row>
          <xdr:rowOff>82550</xdr:rowOff>
        </xdr:to>
        <xdr:pic>
          <xdr:nvPicPr>
            <xdr:cNvPr id="7" name="Image 6">
              <a:extLst>
                <a:ext uri="{FF2B5EF4-FFF2-40B4-BE49-F238E27FC236}">
                  <a16:creationId xmlns:a16="http://schemas.microsoft.com/office/drawing/2014/main" id="{E14FC91D-5959-407B-8B88-1CF4DBF210BF}"/>
                </a:ext>
              </a:extLst>
            </xdr:cNvPr>
            <xdr:cNvPicPr>
              <a:picLocks noChangeAspect="1" noChangeArrowheads="1"/>
              <a:extLst>
                <a:ext uri="{84589F7E-364E-4C9E-8A38-B11213B215E9}">
                  <a14:cameraTool cellRange="'2. Kostenschätzugen techn Infra'!$AO$57:$AW$63" spid="_x0000_s105012"/>
                </a:ext>
              </a:extLst>
            </xdr:cNvPicPr>
          </xdr:nvPicPr>
          <xdr:blipFill>
            <a:blip xmlns:r="http://schemas.openxmlformats.org/officeDocument/2006/relationships" r:embed="rId3"/>
            <a:srcRect/>
            <a:stretch>
              <a:fillRect/>
            </a:stretch>
          </xdr:blipFill>
          <xdr:spPr bwMode="auto">
            <a:xfrm>
              <a:off x="431800" y="8826500"/>
              <a:ext cx="10706100" cy="16002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838200</xdr:colOff>
      <xdr:row>1</xdr:row>
      <xdr:rowOff>180975</xdr:rowOff>
    </xdr:from>
    <xdr:to>
      <xdr:col>5</xdr:col>
      <xdr:colOff>29888</xdr:colOff>
      <xdr:row>1</xdr:row>
      <xdr:rowOff>549275</xdr:rowOff>
    </xdr:to>
    <xdr:sp macro="" textlink="">
      <xdr:nvSpPr>
        <xdr:cNvPr id="3" name="Rectangle : coins arrondis 2">
          <a:hlinkClick xmlns:r="http://schemas.openxmlformats.org/officeDocument/2006/relationships" r:id="rId4"/>
          <a:extLst>
            <a:ext uri="{FF2B5EF4-FFF2-40B4-BE49-F238E27FC236}">
              <a16:creationId xmlns:a16="http://schemas.microsoft.com/office/drawing/2014/main" id="{5F19A17C-BC18-44BF-8DA4-EE487B76AAA0}"/>
            </a:ext>
          </a:extLst>
        </xdr:cNvPr>
        <xdr:cNvSpPr/>
      </xdr:nvSpPr>
      <xdr:spPr>
        <a:xfrm>
          <a:off x="5819775" y="1019175"/>
          <a:ext cx="2420663" cy="368300"/>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CH" sz="1400"/>
            <a:t>Zu </a:t>
          </a:r>
          <a:r>
            <a:rPr lang="fr-CH" sz="1400" i="1"/>
            <a:t>Gebrauchsanweisung</a:t>
          </a:r>
          <a:endParaRPr lang="fr-CH" sz="14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5</xdr:row>
      <xdr:rowOff>0</xdr:rowOff>
    </xdr:from>
    <xdr:to>
      <xdr:col>17</xdr:col>
      <xdr:colOff>342900</xdr:colOff>
      <xdr:row>34</xdr:row>
      <xdr:rowOff>35880</xdr:rowOff>
    </xdr:to>
    <xdr:pic>
      <xdr:nvPicPr>
        <xdr:cNvPr id="2" name="Image 1">
          <a:extLst>
            <a:ext uri="{FF2B5EF4-FFF2-40B4-BE49-F238E27FC236}">
              <a16:creationId xmlns:a16="http://schemas.microsoft.com/office/drawing/2014/main" id="{AE677420-FB48-BD4F-9CEE-B4EE240050A8}"/>
            </a:ext>
          </a:extLst>
        </xdr:cNvPr>
        <xdr:cNvPicPr>
          <a:picLocks noChangeAspect="1"/>
        </xdr:cNvPicPr>
      </xdr:nvPicPr>
      <xdr:blipFill>
        <a:blip xmlns:r="http://schemas.openxmlformats.org/officeDocument/2006/relationships" r:embed="rId1"/>
        <a:stretch>
          <a:fillRect/>
        </a:stretch>
      </xdr:blipFill>
      <xdr:spPr>
        <a:xfrm>
          <a:off x="6604000" y="1003300"/>
          <a:ext cx="7772400" cy="566409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bechtle.com/ch-fr/shop/appliance-sonicwall-tz370--4523400-40--p" TargetMode="External"/><Relationship Id="rId7"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s://www.bechtle.com/ch-fr/shop/casque-kensington-usb-c-hifi--4529114--p" TargetMode="External"/><Relationship Id="rId5" Type="http://schemas.openxmlformats.org/officeDocument/2006/relationships/hyperlink" Target="https://www.bechtle.com/ch-fr/finder/type-de-produit--station-d-accueil/prix--158--665?query=docking+&amp;sorting=p_asc" TargetMode="External"/><Relationship Id="rId4" Type="http://schemas.openxmlformats.org/officeDocument/2006/relationships/hyperlink" Target="https://www.bechtle.com/ch-fr/shop/micro-casque-pc-bureau-hama-hs-p100--4071108--p"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digitec.ch/fr/s1/producttype/chariot-pour-notebook-3727?filter=23210%3D1386502&amp;so=5&amp;tagIds=614-653" TargetMode="External"/><Relationship Id="rId7" Type="http://schemas.openxmlformats.org/officeDocument/2006/relationships/comments" Target="../comments2.xml"/><Relationship Id="rId2" Type="http://schemas.openxmlformats.org/officeDocument/2006/relationships/hyperlink" Target="https://www.dicota.com/euro_en/ladetrolley-fur-20-tablets-oder-ultrabooks-ch.html" TargetMode="External"/><Relationship Id="rId1" Type="http://schemas.openxmlformats.org/officeDocument/2006/relationships/hyperlink" Target="https://www.dicota.com/euro_en/ladetrolley-fur-14-laptops-ch.html" TargetMode="External"/><Relationship Id="rId6" Type="http://schemas.openxmlformats.org/officeDocument/2006/relationships/vmlDrawing" Target="../drawings/vmlDrawing3.vml"/><Relationship Id="rId5" Type="http://schemas.openxmlformats.org/officeDocument/2006/relationships/hyperlink" Target="https://www.dicota.com/euro_en/ladetrolley-fur-14-laptops-ch.html" TargetMode="External"/><Relationship Id="rId4" Type="http://schemas.openxmlformats.org/officeDocument/2006/relationships/hyperlink" Target="https://www.bechtle.com/ch-fr/shop/compulocks-cartipad-solo-16-appareils--4462053--p"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F9D5-DC85-4A5D-AF3C-D9B8CEFE03BA}">
  <sheetPr>
    <pageSetUpPr autoPageBreaks="0" fitToPage="1"/>
  </sheetPr>
  <dimension ref="A1:H16"/>
  <sheetViews>
    <sheetView showGridLines="0" showRowColHeaders="0" tabSelected="1" zoomScale="150" zoomScaleNormal="150" workbookViewId="0">
      <pane ySplit="2" topLeftCell="A3" activePane="bottomLeft" state="frozen"/>
      <selection activeCell="B14" sqref="B14:D14"/>
      <selection pane="bottomLeft" activeCell="B4" sqref="B4:D4"/>
    </sheetView>
  </sheetViews>
  <sheetFormatPr baseColWidth="10" defaultColWidth="11.5" defaultRowHeight="15" x14ac:dyDescent="0.2"/>
  <cols>
    <col min="1" max="1" width="7.5" customWidth="1"/>
    <col min="2" max="2" width="56.83203125" style="3" customWidth="1"/>
    <col min="3" max="4" width="24" style="1" customWidth="1"/>
    <col min="5" max="5" width="10.5" style="1" customWidth="1"/>
    <col min="6" max="6" width="11.5" style="1" customWidth="1"/>
    <col min="7" max="7" width="40.5" customWidth="1"/>
    <col min="8" max="8" width="11.83203125" style="1" customWidth="1"/>
    <col min="9" max="16384" width="11.5" style="1"/>
  </cols>
  <sheetData>
    <row r="1" spans="1:8" customFormat="1" ht="66" customHeight="1" x14ac:dyDescent="0.2">
      <c r="A1" s="8"/>
      <c r="B1" s="8"/>
      <c r="C1" s="9"/>
      <c r="D1" s="9"/>
      <c r="E1" s="8"/>
    </row>
    <row r="2" spans="1:8" s="7" customFormat="1" ht="57" customHeight="1" x14ac:dyDescent="0.2">
      <c r="A2" s="6"/>
      <c r="B2" s="361" t="s">
        <v>0</v>
      </c>
      <c r="C2" s="361"/>
      <c r="D2" s="361"/>
      <c r="E2" s="307"/>
      <c r="F2" s="306"/>
      <c r="G2" s="306"/>
      <c r="H2" s="306"/>
    </row>
    <row r="3" spans="1:8" s="7" customFormat="1" ht="15" customHeight="1" x14ac:dyDescent="0.2">
      <c r="A3" s="12"/>
      <c r="B3" s="11"/>
      <c r="C3" s="13"/>
      <c r="D3" s="14"/>
      <c r="E3" s="12"/>
    </row>
    <row r="4" spans="1:8" ht="23.25" customHeight="1" x14ac:dyDescent="0.2">
      <c r="A4" s="10"/>
      <c r="B4" s="362" t="s">
        <v>1</v>
      </c>
      <c r="C4" s="363"/>
      <c r="D4" s="364"/>
      <c r="E4" s="15"/>
      <c r="G4" s="62"/>
    </row>
    <row r="5" spans="1:8" ht="92.5" customHeight="1" x14ac:dyDescent="0.2">
      <c r="A5" s="10"/>
      <c r="B5" s="365" t="s">
        <v>354</v>
      </c>
      <c r="C5" s="365"/>
      <c r="D5" s="365"/>
      <c r="E5" s="15"/>
      <c r="G5" s="64"/>
      <c r="H5" s="61"/>
    </row>
    <row r="6" spans="1:8" ht="13" customHeight="1" x14ac:dyDescent="0.2">
      <c r="A6" s="10"/>
      <c r="B6" s="60"/>
      <c r="C6" s="60"/>
      <c r="D6" s="60"/>
      <c r="E6" s="15"/>
      <c r="G6" s="63"/>
      <c r="H6" s="61"/>
    </row>
    <row r="7" spans="1:8" ht="23.25" customHeight="1" x14ac:dyDescent="0.2">
      <c r="A7" s="10"/>
      <c r="B7" s="362" t="s">
        <v>2</v>
      </c>
      <c r="C7" s="363"/>
      <c r="D7" s="364"/>
      <c r="E7" s="15"/>
      <c r="G7" s="62"/>
    </row>
    <row r="8" spans="1:8" ht="78.75" customHeight="1" x14ac:dyDescent="0.2">
      <c r="A8" s="10"/>
      <c r="B8" s="365" t="s">
        <v>3</v>
      </c>
      <c r="C8" s="365"/>
      <c r="D8" s="365"/>
      <c r="E8" s="15"/>
      <c r="G8" s="301"/>
      <c r="H8" s="61"/>
    </row>
    <row r="9" spans="1:8" ht="13" customHeight="1" x14ac:dyDescent="0.2">
      <c r="A9" s="10"/>
      <c r="B9" s="60"/>
      <c r="C9" s="60"/>
      <c r="D9" s="60"/>
      <c r="E9" s="15"/>
      <c r="G9" s="302"/>
      <c r="H9" s="61"/>
    </row>
    <row r="10" spans="1:8" ht="23.25" customHeight="1" x14ac:dyDescent="0.2">
      <c r="A10" s="10"/>
      <c r="B10" s="362" t="s">
        <v>4</v>
      </c>
      <c r="C10" s="363"/>
      <c r="D10" s="364"/>
      <c r="E10" s="15"/>
      <c r="G10" s="17"/>
    </row>
    <row r="11" spans="1:8" ht="131.5" customHeight="1" x14ac:dyDescent="0.2">
      <c r="A11" s="10"/>
      <c r="B11" s="366" t="s">
        <v>5</v>
      </c>
      <c r="C11" s="366"/>
      <c r="D11" s="366"/>
      <c r="E11" s="15"/>
      <c r="G11" s="64"/>
    </row>
    <row r="12" spans="1:8" x14ac:dyDescent="0.2">
      <c r="A12" s="10"/>
      <c r="B12" s="59"/>
      <c r="C12" s="59"/>
      <c r="D12" s="59"/>
      <c r="E12" s="15"/>
      <c r="G12" s="17"/>
    </row>
    <row r="13" spans="1:8" ht="23.25" customHeight="1" x14ac:dyDescent="0.2">
      <c r="A13" s="10"/>
      <c r="B13" s="362" t="s">
        <v>6</v>
      </c>
      <c r="C13" s="363"/>
      <c r="D13" s="364"/>
      <c r="E13" s="15"/>
      <c r="G13" s="17"/>
    </row>
    <row r="14" spans="1:8" ht="150.75" customHeight="1" x14ac:dyDescent="0.2">
      <c r="A14" s="10"/>
      <c r="B14" s="365" t="s">
        <v>7</v>
      </c>
      <c r="C14" s="365"/>
      <c r="D14" s="365"/>
      <c r="E14" s="15"/>
      <c r="F14" s="3"/>
      <c r="G14" s="64"/>
    </row>
    <row r="15" spans="1:8" x14ac:dyDescent="0.2">
      <c r="A15" s="10"/>
      <c r="B15" s="10"/>
      <c r="C15" s="10"/>
      <c r="D15" s="10"/>
      <c r="E15" s="15"/>
      <c r="G15" s="17"/>
    </row>
    <row r="16" spans="1:8" x14ac:dyDescent="0.2">
      <c r="G16" s="17"/>
    </row>
  </sheetData>
  <sheetProtection algorithmName="SHA-512" hashValue="vtyJXOAI4vqasGjO6P9jBsrlzF0E0C/TudHvbc9qJLv8bNXnUu8n/N2PqhSHzD3wQYvyO9AIEwn65XeLwX+ABQ==" saltValue="Z3pJu4vX9Zt9iLe0KzDlDg==" spinCount="100000" sheet="1" objects="1" scenarios="1"/>
  <customSheetViews>
    <customSheetView guid="{2F7F83DD-5603-CE40-9872-ABF624ECE237}" scale="130" showGridLines="0" showRowCol="0" fitToPage="1" printArea="1">
      <pane ySplit="2" topLeftCell="A3" activePane="bottomLeft" state="frozen"/>
      <selection pane="bottomLeft" activeCell="B7" sqref="B7:D7"/>
      <pageMargins left="0" right="0" top="0" bottom="0" header="0" footer="0"/>
      <pageSetup paperSize="9" scale="71" orientation="portrait" r:id="rId1"/>
      <headerFooter>
        <oddHeader>&amp;C&amp;F</oddHeader>
        <oddFooter>&amp;LVersion 1.0 / Centre de compétences Fritic &amp;C&amp;A&amp;RImprimé le &amp;D</oddFooter>
      </headerFooter>
    </customSheetView>
    <customSheetView guid="{D932F249-B54E-D54C-B8F4-0256603E93D7}" scale="130" showGridLines="0" showRowCol="0" fitToPage="1" printArea="1">
      <pane ySplit="2" topLeftCell="A3" activePane="bottomLeft" state="frozen"/>
      <selection pane="bottomLeft" activeCell="B7" sqref="B7:D7"/>
      <pageMargins left="0" right="0" top="0" bottom="0" header="0" footer="0"/>
      <pageSetup paperSize="9" scale="71" orientation="portrait" r:id="rId2"/>
      <headerFooter>
        <oddHeader>&amp;C&amp;F</oddHeader>
        <oddFooter>&amp;LVersion 1.0 / Centre de compétences Fritic &amp;C&amp;A&amp;RImprimé le &amp;D</oddFooter>
      </headerFooter>
    </customSheetView>
  </customSheetViews>
  <mergeCells count="9">
    <mergeCell ref="B2:D2"/>
    <mergeCell ref="B13:D13"/>
    <mergeCell ref="B14:D14"/>
    <mergeCell ref="B11:D11"/>
    <mergeCell ref="B4:D4"/>
    <mergeCell ref="B5:D5"/>
    <mergeCell ref="B10:D10"/>
    <mergeCell ref="B7:D7"/>
    <mergeCell ref="B8:D8"/>
  </mergeCells>
  <printOptions horizontalCentered="1"/>
  <pageMargins left="0.25" right="0.25" top="1" bottom="0.75" header="0.55000000000000004" footer="0.3"/>
  <pageSetup paperSize="9" orientation="landscape" r:id="rId3"/>
  <headerFooter scaleWithDoc="0">
    <oddHeader>&amp;C&amp;F</oddHeader>
    <oddFooter>&amp;L&amp;"Calibri,Normal"&amp;K000000Version 1.2 / Centre de compétences Fritic &amp;C&amp;"Calibri,Normal"&amp;K000000&amp;A&amp;R&amp;"Calibri,Normal"&amp;K000000Imprimé le &amp;D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AC81-55B4-471B-B95C-62D6A2D880D9}">
  <sheetPr>
    <pageSetUpPr autoPageBreaks="0" fitToPage="1"/>
  </sheetPr>
  <dimension ref="A1:Q17"/>
  <sheetViews>
    <sheetView showGridLines="0" showRowColHeaders="0" zoomScale="150" zoomScaleNormal="115" workbookViewId="0">
      <pane ySplit="2" topLeftCell="A3" activePane="bottomLeft" state="frozen"/>
      <selection activeCell="B14" sqref="B14:D14"/>
      <selection pane="bottomLeft" activeCell="B14" sqref="B14:D14"/>
    </sheetView>
  </sheetViews>
  <sheetFormatPr baseColWidth="10" defaultColWidth="11.5" defaultRowHeight="15" x14ac:dyDescent="0.2"/>
  <cols>
    <col min="1" max="1" width="7.5" customWidth="1"/>
    <col min="2" max="2" width="56.83203125" style="3" customWidth="1"/>
    <col min="3" max="4" width="24" style="1" customWidth="1"/>
    <col min="5" max="14" width="11.5" style="1"/>
    <col min="15" max="15" width="34.5" style="1" customWidth="1"/>
    <col min="16" max="16384" width="11.5" style="1"/>
  </cols>
  <sheetData>
    <row r="1" spans="1:17" customFormat="1" ht="66" customHeight="1" x14ac:dyDescent="0.2">
      <c r="A1" s="8"/>
      <c r="B1" s="8"/>
      <c r="C1" s="9"/>
      <c r="D1" s="9"/>
      <c r="E1" s="8"/>
    </row>
    <row r="2" spans="1:17" s="7" customFormat="1" ht="57" customHeight="1" x14ac:dyDescent="0.2">
      <c r="A2" s="6"/>
      <c r="B2" s="368" t="s">
        <v>8</v>
      </c>
      <c r="C2" s="368"/>
      <c r="D2" s="368"/>
      <c r="E2" s="6"/>
    </row>
    <row r="3" spans="1:17" ht="15" customHeight="1" x14ac:dyDescent="0.2">
      <c r="A3" s="10"/>
      <c r="B3" s="16"/>
      <c r="C3" s="16"/>
      <c r="D3" s="16"/>
      <c r="E3" s="15"/>
    </row>
    <row r="4" spans="1:17" ht="22.5" customHeight="1" x14ac:dyDescent="0.2">
      <c r="A4" s="10"/>
      <c r="B4" s="369" t="s">
        <v>9</v>
      </c>
      <c r="C4" s="369"/>
      <c r="D4" s="369"/>
      <c r="E4" s="15"/>
    </row>
    <row r="5" spans="1:17" ht="22.5" customHeight="1" x14ac:dyDescent="0.2">
      <c r="A5" s="10"/>
      <c r="B5" s="362" t="s">
        <v>10</v>
      </c>
      <c r="C5" s="363"/>
      <c r="D5" s="364"/>
      <c r="E5" s="15"/>
    </row>
    <row r="6" spans="1:17" ht="151.5" customHeight="1" x14ac:dyDescent="0.2">
      <c r="A6" s="10"/>
      <c r="B6" s="367" t="s">
        <v>355</v>
      </c>
      <c r="C6" s="367"/>
      <c r="D6" s="367"/>
      <c r="E6" s="15"/>
      <c r="G6" s="3"/>
      <c r="H6" s="3"/>
      <c r="I6" s="3"/>
    </row>
    <row r="7" spans="1:17" ht="65.25" customHeight="1" x14ac:dyDescent="0.2">
      <c r="A7" s="10"/>
      <c r="B7" s="367" t="s">
        <v>11</v>
      </c>
      <c r="C7" s="367"/>
      <c r="D7" s="367"/>
      <c r="E7" s="15"/>
      <c r="G7" s="3"/>
      <c r="H7" s="3"/>
      <c r="I7" s="3"/>
    </row>
    <row r="8" spans="1:17" ht="253.5" customHeight="1" x14ac:dyDescent="0.2">
      <c r="A8" s="10"/>
      <c r="B8" s="367" t="s">
        <v>12</v>
      </c>
      <c r="C8" s="367"/>
      <c r="D8" s="367"/>
      <c r="E8" s="15"/>
      <c r="G8" s="3"/>
      <c r="H8" s="3"/>
      <c r="I8" s="3"/>
    </row>
    <row r="9" spans="1:17" ht="22.5" customHeight="1" x14ac:dyDescent="0.2">
      <c r="A9" s="10"/>
      <c r="B9" s="362" t="s">
        <v>13</v>
      </c>
      <c r="C9" s="363"/>
      <c r="D9" s="364"/>
      <c r="E9" s="15"/>
    </row>
    <row r="10" spans="1:17" s="2" customFormat="1" ht="93" customHeight="1" x14ac:dyDescent="0.2">
      <c r="A10" s="10"/>
      <c r="B10" s="367" t="s">
        <v>14</v>
      </c>
      <c r="C10" s="367"/>
      <c r="D10" s="367"/>
      <c r="E10" s="15"/>
      <c r="F10" s="1"/>
      <c r="G10" s="1"/>
      <c r="H10" s="1"/>
      <c r="I10" s="1"/>
      <c r="J10" s="1"/>
      <c r="K10" s="1"/>
      <c r="L10" s="1"/>
      <c r="M10" s="1"/>
      <c r="N10" s="1"/>
    </row>
    <row r="11" spans="1:17" x14ac:dyDescent="0.2">
      <c r="A11" s="10"/>
      <c r="B11" s="10"/>
      <c r="C11" s="10"/>
      <c r="D11" s="10"/>
      <c r="E11" s="15"/>
    </row>
    <row r="15" spans="1:17" x14ac:dyDescent="0.2">
      <c r="P15" s="65"/>
      <c r="Q15" s="65"/>
    </row>
    <row r="16" spans="1:17" ht="280" customHeight="1" x14ac:dyDescent="0.2">
      <c r="P16" s="66"/>
      <c r="Q16" s="66"/>
    </row>
    <row r="17" spans="15:17" x14ac:dyDescent="0.2">
      <c r="O17" s="66"/>
      <c r="P17" s="66"/>
      <c r="Q17" s="66"/>
    </row>
  </sheetData>
  <sheetProtection algorithmName="SHA-512" hashValue="qaUdmYWh5eGR4oWtJXVHlAa5I24T/ot9sMQaI+R3QmyQIHWYbf94r1c5qYsg4dK6Ta/VMSkTPQgW/UyRDQwmjA==" saltValue="WyHTFCEEBrooX7ExjI8+PA==" spinCount="100000" sheet="1" scenarios="1" selectLockedCells="1" selectUnlockedCells="1"/>
  <customSheetViews>
    <customSheetView guid="{2F7F83DD-5603-CE40-9872-ABF624ECE237}" scale="120" fitToPage="1" printArea="1">
      <pane ySplit="2" topLeftCell="A3" activePane="bottomLeft" state="frozen"/>
      <selection pane="bottomLeft" activeCell="B7" sqref="B7:D7"/>
      <pageMargins left="0" right="0" top="0" bottom="0" header="0" footer="0"/>
      <pageSetup paperSize="9" scale="71" orientation="portrait" r:id="rId1"/>
      <headerFooter>
        <oddHeader>&amp;C&amp;F</oddHeader>
        <oddFooter>&amp;LVersion 1.0 / Centre de compétences Fritic &amp;C&amp;A&amp;RImprimé le &amp;D</oddFooter>
      </headerFooter>
    </customSheetView>
    <customSheetView guid="{D932F249-B54E-D54C-B8F4-0256603E93D7}" scale="120" showGridLines="0" showRowCol="0" fitToPage="1" printArea="1">
      <pane ySplit="2" topLeftCell="A3" activePane="bottomLeft" state="frozen"/>
      <selection pane="bottomLeft" activeCell="B7" sqref="B7:D7"/>
      <pageMargins left="0" right="0" top="0" bottom="0" header="0" footer="0"/>
      <pageSetup paperSize="9" scale="48" orientation="portrait" r:id="rId2"/>
      <headerFooter>
        <oddHeader>&amp;C&amp;F</oddHeader>
        <oddFooter>&amp;LVersion 1.0 / Centre de compétences Fritic &amp;C&amp;A&amp;RImprimé le &amp;D</oddFooter>
      </headerFooter>
    </customSheetView>
  </customSheetViews>
  <mergeCells count="8">
    <mergeCell ref="B10:D10"/>
    <mergeCell ref="B5:D5"/>
    <mergeCell ref="B2:D2"/>
    <mergeCell ref="B4:D4"/>
    <mergeCell ref="B7:D7"/>
    <mergeCell ref="B9:D9"/>
    <mergeCell ref="B6:D6"/>
    <mergeCell ref="B8:D8"/>
  </mergeCells>
  <printOptions horizontalCentered="1"/>
  <pageMargins left="0.25" right="0.25" top="1" bottom="0.75" header="0.55000000000000004" footer="0.3"/>
  <pageSetup paperSize="9" scale="99" orientation="landscape" r:id="rId3"/>
  <headerFooter scaleWithDoc="0">
    <oddHeader>&amp;C&amp;F</oddHeader>
    <oddFooter>&amp;L&amp;"Calibri,Normal"&amp;K000000Version 1.2 / Centre de compétences Fritic &amp;C&amp;"Calibri,Normal"&amp;K000000&amp;A&amp;R&amp;"Calibri,Normal"&amp;K000000Imprimé le &amp;D</oddFooter>
  </headerFooter>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4452-AC81-144C-8654-372DF137DD37}">
  <sheetPr>
    <pageSetUpPr fitToPage="1"/>
  </sheetPr>
  <dimension ref="A1:BI124"/>
  <sheetViews>
    <sheetView showGridLines="0" showRowColHeaders="0" zoomScaleNormal="100" workbookViewId="0">
      <selection activeCell="B13" sqref="B13:D15"/>
    </sheetView>
  </sheetViews>
  <sheetFormatPr baseColWidth="10" defaultColWidth="10.83203125" defaultRowHeight="15" x14ac:dyDescent="0.2"/>
  <cols>
    <col min="1" max="1" width="4.5" customWidth="1"/>
    <col min="2" max="2" width="27.1640625" customWidth="1"/>
    <col min="3" max="13" width="11.5" customWidth="1"/>
    <col min="14" max="14" width="26.6640625" customWidth="1"/>
    <col min="15" max="17" width="12" customWidth="1"/>
    <col min="18" max="18" width="4.5" customWidth="1"/>
    <col min="20" max="20" width="9.5" style="17" hidden="1" customWidth="1"/>
    <col min="21" max="60" width="10.83203125" hidden="1" customWidth="1"/>
  </cols>
  <sheetData>
    <row r="1" spans="1:33" ht="70" customHeight="1" x14ac:dyDescent="0.2">
      <c r="A1" s="8"/>
      <c r="B1" s="8"/>
      <c r="C1" s="8"/>
      <c r="D1" s="8"/>
      <c r="E1" s="8"/>
      <c r="F1" s="8"/>
      <c r="G1" s="8"/>
      <c r="H1" s="8"/>
      <c r="I1" s="9"/>
      <c r="J1" s="9"/>
      <c r="K1" s="9"/>
      <c r="L1" s="9"/>
      <c r="M1" s="9"/>
      <c r="N1" s="9"/>
      <c r="O1" s="9"/>
      <c r="P1" s="9"/>
      <c r="Q1" s="8"/>
      <c r="R1" s="8"/>
    </row>
    <row r="2" spans="1:33" ht="59.25" customHeight="1" x14ac:dyDescent="0.2">
      <c r="A2" s="6"/>
      <c r="B2" s="431" t="s">
        <v>15</v>
      </c>
      <c r="C2" s="431"/>
      <c r="D2" s="431"/>
      <c r="E2" s="431"/>
      <c r="F2" s="431"/>
      <c r="G2" s="431"/>
      <c r="H2" s="431"/>
      <c r="I2" s="97"/>
      <c r="J2" s="97"/>
      <c r="K2" s="97"/>
      <c r="L2" s="97"/>
      <c r="M2" s="97"/>
      <c r="N2" s="98"/>
      <c r="O2" s="98"/>
      <c r="P2" s="98"/>
      <c r="Q2" s="6"/>
      <c r="R2" s="6"/>
      <c r="T2" s="188"/>
    </row>
    <row r="3" spans="1:33" s="7" customFormat="1" ht="17.25" customHeight="1" x14ac:dyDescent="0.2">
      <c r="A3" s="189"/>
      <c r="B3" s="189"/>
      <c r="C3" s="189"/>
      <c r="D3" s="189"/>
      <c r="E3" s="189"/>
      <c r="F3" s="189"/>
      <c r="G3" s="189"/>
      <c r="H3" s="190"/>
      <c r="I3" s="189"/>
      <c r="J3" s="189"/>
      <c r="K3" s="189"/>
      <c r="L3" s="189"/>
      <c r="M3" s="189"/>
      <c r="N3" s="189"/>
      <c r="O3" s="189"/>
      <c r="P3" s="189"/>
      <c r="Q3" s="189"/>
      <c r="R3" s="189"/>
      <c r="T3" s="191"/>
    </row>
    <row r="4" spans="1:33" ht="16" customHeight="1" x14ac:dyDescent="0.2">
      <c r="A4" s="189"/>
      <c r="B4" s="192" t="s">
        <v>16</v>
      </c>
      <c r="C4" s="432"/>
      <c r="D4" s="433"/>
      <c r="E4" s="433"/>
      <c r="F4" s="433"/>
      <c r="G4" s="433"/>
      <c r="H4" s="434"/>
      <c r="I4" s="189"/>
      <c r="J4" s="189"/>
      <c r="K4" s="189"/>
      <c r="L4" s="189" t="s">
        <v>17</v>
      </c>
      <c r="M4" s="189"/>
      <c r="N4" s="193"/>
      <c r="O4" s="193"/>
      <c r="P4" s="193"/>
      <c r="Q4" s="193"/>
      <c r="R4" s="100"/>
      <c r="T4" s="194"/>
      <c r="U4" s="195"/>
      <c r="V4" s="195"/>
      <c r="W4" s="195"/>
      <c r="X4" s="195"/>
      <c r="Y4" s="195"/>
      <c r="Z4" s="195"/>
      <c r="AA4" s="195"/>
      <c r="AB4" s="195"/>
      <c r="AC4" s="195"/>
    </row>
    <row r="5" spans="1:33" x14ac:dyDescent="0.2">
      <c r="A5" s="189"/>
      <c r="B5" s="189"/>
      <c r="C5" s="189"/>
      <c r="D5" s="189"/>
      <c r="E5" s="189"/>
      <c r="F5" s="4"/>
      <c r="G5" s="4"/>
      <c r="H5" s="4"/>
      <c r="I5" s="4"/>
      <c r="J5" s="4"/>
      <c r="K5" s="4"/>
      <c r="L5" s="4"/>
      <c r="M5" s="4"/>
      <c r="N5" s="193"/>
      <c r="O5" s="193"/>
      <c r="P5" s="193"/>
      <c r="Q5" s="193"/>
      <c r="R5" s="4"/>
      <c r="T5" s="196"/>
    </row>
    <row r="6" spans="1:33" ht="19" customHeight="1" x14ac:dyDescent="0.2">
      <c r="A6" s="189"/>
      <c r="B6" s="197" t="s">
        <v>18</v>
      </c>
      <c r="C6" s="198"/>
      <c r="D6" s="198"/>
      <c r="E6" s="198"/>
      <c r="F6" s="198"/>
      <c r="G6" s="198"/>
      <c r="H6" s="199"/>
      <c r="I6" s="138"/>
      <c r="J6" s="138"/>
      <c r="K6" s="138"/>
      <c r="L6" s="138"/>
      <c r="M6" s="138"/>
      <c r="N6" s="193"/>
      <c r="O6" s="193"/>
      <c r="P6" s="193"/>
      <c r="Q6" s="193"/>
      <c r="R6" s="4"/>
      <c r="X6" s="200"/>
    </row>
    <row r="7" spans="1:33" ht="15" customHeight="1" x14ac:dyDescent="0.2">
      <c r="A7" s="4"/>
      <c r="B7" s="201"/>
      <c r="C7" s="202"/>
      <c r="D7" s="202"/>
      <c r="E7" s="202"/>
      <c r="F7" s="202"/>
      <c r="G7" s="202"/>
      <c r="H7" s="203"/>
      <c r="I7" s="4"/>
      <c r="J7" s="4"/>
      <c r="K7" s="4"/>
      <c r="L7" s="4"/>
      <c r="M7" s="4"/>
      <c r="N7" s="193"/>
      <c r="O7" s="193"/>
      <c r="P7" s="193"/>
      <c r="Q7" s="193"/>
      <c r="R7" s="4"/>
    </row>
    <row r="8" spans="1:33" ht="14.5" customHeight="1" x14ac:dyDescent="0.2">
      <c r="A8" s="4"/>
      <c r="B8" s="205" t="s">
        <v>19</v>
      </c>
      <c r="C8" s="113" t="s">
        <v>20</v>
      </c>
      <c r="D8" s="113" t="s">
        <v>21</v>
      </c>
      <c r="E8" s="206" t="s">
        <v>22</v>
      </c>
      <c r="F8" s="206" t="s">
        <v>23</v>
      </c>
      <c r="G8" s="207" t="s">
        <v>24</v>
      </c>
      <c r="H8" s="206" t="s">
        <v>25</v>
      </c>
      <c r="I8" s="4"/>
      <c r="J8" s="4"/>
      <c r="K8" s="4"/>
      <c r="L8" s="4"/>
      <c r="M8" s="4"/>
      <c r="N8" s="193"/>
      <c r="O8" s="193"/>
      <c r="P8" s="193"/>
      <c r="Q8" s="193"/>
      <c r="R8" s="4"/>
    </row>
    <row r="9" spans="1:33" ht="19" customHeight="1" x14ac:dyDescent="0.2">
      <c r="A9" s="4"/>
      <c r="B9" s="208" t="s">
        <v>26</v>
      </c>
      <c r="C9" s="92"/>
      <c r="D9" s="93"/>
      <c r="E9" s="94"/>
      <c r="F9" s="94"/>
      <c r="G9" s="95"/>
      <c r="H9" s="209">
        <f>SUM(C9:G9)</f>
        <v>0</v>
      </c>
      <c r="I9" s="4"/>
      <c r="J9" s="4"/>
      <c r="K9" s="4"/>
      <c r="L9" s="4"/>
      <c r="M9" s="4"/>
      <c r="N9" s="193"/>
      <c r="O9" s="193"/>
      <c r="P9" s="193"/>
      <c r="Q9" s="193"/>
      <c r="R9" s="4"/>
      <c r="X9" s="210" t="s">
        <v>27</v>
      </c>
    </row>
    <row r="10" spans="1:33" ht="16" customHeight="1" x14ac:dyDescent="0.2">
      <c r="A10" s="4"/>
      <c r="B10" s="211" t="s">
        <v>28</v>
      </c>
      <c r="C10" s="53"/>
      <c r="D10" s="54"/>
      <c r="E10" s="212"/>
      <c r="F10" s="212"/>
      <c r="G10" s="212"/>
      <c r="H10" s="213"/>
      <c r="I10" s="4"/>
      <c r="J10" s="4"/>
      <c r="K10" s="4"/>
      <c r="L10" s="4"/>
      <c r="M10" s="4"/>
      <c r="N10" s="193"/>
      <c r="O10" s="193"/>
      <c r="P10" s="193"/>
      <c r="Q10" s="193"/>
      <c r="R10" s="4"/>
      <c r="X10" s="210">
        <f>ROW(A68)-ROW(A51)</f>
        <v>17</v>
      </c>
    </row>
    <row r="11" spans="1:33" ht="15" customHeight="1" x14ac:dyDescent="0.2">
      <c r="A11" s="4"/>
      <c r="B11" s="204"/>
      <c r="C11" s="202"/>
      <c r="D11" s="212"/>
      <c r="E11" s="212"/>
      <c r="F11" s="212"/>
      <c r="G11" s="212"/>
      <c r="H11" s="213"/>
      <c r="I11" s="4"/>
      <c r="J11" s="4"/>
      <c r="K11" s="4"/>
      <c r="L11" s="4"/>
      <c r="M11" s="4"/>
      <c r="N11" s="193"/>
      <c r="O11" s="193"/>
      <c r="P11" s="193"/>
      <c r="Q11" s="193"/>
      <c r="R11" s="4"/>
    </row>
    <row r="12" spans="1:33" ht="16" customHeight="1" x14ac:dyDescent="0.2">
      <c r="A12" s="4"/>
      <c r="B12" s="358" t="s">
        <v>356</v>
      </c>
      <c r="C12" s="212"/>
      <c r="D12" s="212"/>
      <c r="E12" s="212"/>
      <c r="F12" s="212"/>
      <c r="G12" s="212"/>
      <c r="H12" s="213"/>
      <c r="I12" s="4"/>
      <c r="J12" s="4"/>
      <c r="K12" s="4"/>
      <c r="L12" s="4"/>
      <c r="M12" s="4"/>
      <c r="N12" s="193"/>
      <c r="O12" s="193"/>
      <c r="P12" s="193"/>
      <c r="Q12" s="193"/>
      <c r="R12" s="4"/>
    </row>
    <row r="13" spans="1:33" ht="14.5" customHeight="1" x14ac:dyDescent="0.2">
      <c r="A13" s="4"/>
      <c r="B13" s="398" t="s">
        <v>29</v>
      </c>
      <c r="C13" s="113" t="s">
        <v>20</v>
      </c>
      <c r="D13" s="113" t="s">
        <v>21</v>
      </c>
      <c r="E13" s="113" t="s">
        <v>22</v>
      </c>
      <c r="F13" s="113" t="s">
        <v>23</v>
      </c>
      <c r="G13" s="113" t="s">
        <v>24</v>
      </c>
      <c r="H13" s="113" t="s">
        <v>25</v>
      </c>
      <c r="I13" s="4"/>
      <c r="J13" s="4"/>
      <c r="K13" s="4"/>
      <c r="L13" s="4"/>
      <c r="M13" s="4"/>
      <c r="N13" s="193"/>
      <c r="O13" s="193"/>
      <c r="P13" s="193"/>
      <c r="Q13" s="193"/>
      <c r="R13" s="4"/>
    </row>
    <row r="14" spans="1:33" ht="16" customHeight="1" x14ac:dyDescent="0.2">
      <c r="A14" s="4"/>
      <c r="B14" s="439"/>
      <c r="C14" s="435" t="s">
        <v>30</v>
      </c>
      <c r="D14" s="435" t="s">
        <v>30</v>
      </c>
      <c r="E14" s="385" t="s">
        <v>31</v>
      </c>
      <c r="F14" s="385" t="s">
        <v>31</v>
      </c>
      <c r="G14" s="385" t="s">
        <v>31</v>
      </c>
      <c r="H14" s="214"/>
      <c r="I14" s="4"/>
      <c r="J14" s="4"/>
      <c r="K14" s="4"/>
      <c r="L14" s="4"/>
      <c r="M14" s="4"/>
      <c r="N14" s="193"/>
      <c r="O14" s="193"/>
      <c r="P14" s="193"/>
      <c r="Q14" s="193"/>
      <c r="R14" s="4"/>
    </row>
    <row r="15" spans="1:33" ht="15" customHeight="1" x14ac:dyDescent="0.2">
      <c r="A15" s="4"/>
      <c r="B15" s="399"/>
      <c r="C15" s="436"/>
      <c r="D15" s="436"/>
      <c r="E15" s="386"/>
      <c r="F15" s="386"/>
      <c r="G15" s="386"/>
      <c r="H15" s="214"/>
      <c r="I15" s="4"/>
      <c r="J15" s="4"/>
      <c r="K15" s="4"/>
      <c r="L15" s="4"/>
      <c r="M15" s="4"/>
      <c r="N15" s="370" t="s">
        <v>32</v>
      </c>
      <c r="O15" s="371"/>
      <c r="P15" s="371"/>
      <c r="Q15" s="372"/>
      <c r="R15" s="4"/>
      <c r="AD15" s="215" t="s">
        <v>33</v>
      </c>
      <c r="AE15" s="215"/>
    </row>
    <row r="16" spans="1:33" ht="15" customHeight="1" x14ac:dyDescent="0.2">
      <c r="A16" s="4"/>
      <c r="B16" s="377" t="s">
        <v>358</v>
      </c>
      <c r="C16" s="379">
        <v>0</v>
      </c>
      <c r="D16" s="381">
        <v>4</v>
      </c>
      <c r="E16" s="381">
        <v>3</v>
      </c>
      <c r="F16" s="381">
        <v>2</v>
      </c>
      <c r="G16" s="437">
        <v>2</v>
      </c>
      <c r="H16" s="214"/>
      <c r="I16" s="4"/>
      <c r="J16" s="4"/>
      <c r="K16" s="4"/>
      <c r="L16" s="4"/>
      <c r="M16" s="4"/>
      <c r="N16" s="373"/>
      <c r="O16" s="374"/>
      <c r="P16" s="374"/>
      <c r="Q16" s="375"/>
      <c r="R16" s="4"/>
      <c r="AD16" t="s">
        <v>34</v>
      </c>
      <c r="AE16">
        <v>12</v>
      </c>
      <c r="AF16">
        <v>24</v>
      </c>
      <c r="AG16">
        <v>48</v>
      </c>
    </row>
    <row r="17" spans="1:59" ht="15" customHeight="1" x14ac:dyDescent="0.2">
      <c r="A17" s="4"/>
      <c r="B17" s="378"/>
      <c r="C17" s="380"/>
      <c r="D17" s="382"/>
      <c r="E17" s="382"/>
      <c r="F17" s="382"/>
      <c r="G17" s="438"/>
      <c r="H17" s="216"/>
      <c r="I17" s="4"/>
      <c r="J17" s="4"/>
      <c r="K17" s="4"/>
      <c r="L17" s="4"/>
      <c r="M17" s="4"/>
      <c r="N17" s="376" t="s">
        <v>35</v>
      </c>
      <c r="O17" s="376" t="s">
        <v>36</v>
      </c>
      <c r="P17" s="376" t="s">
        <v>37</v>
      </c>
      <c r="Q17" s="376" t="s">
        <v>38</v>
      </c>
      <c r="R17" s="4"/>
      <c r="AD17" t="s">
        <v>39</v>
      </c>
      <c r="AE17">
        <v>1000</v>
      </c>
      <c r="AF17">
        <v>2500</v>
      </c>
      <c r="AG17">
        <v>3500</v>
      </c>
    </row>
    <row r="18" spans="1:59" ht="15" customHeight="1" x14ac:dyDescent="0.2">
      <c r="A18" s="4"/>
      <c r="B18" s="410" t="s">
        <v>359</v>
      </c>
      <c r="C18" s="412">
        <f>ROUNDUP(C10*C16,0)</f>
        <v>0</v>
      </c>
      <c r="D18" s="414">
        <f>ROUNDUP(D10*D16,0)</f>
        <v>0</v>
      </c>
      <c r="E18" s="414">
        <f>ROUNDUP(E9/E16,0)</f>
        <v>0</v>
      </c>
      <c r="F18" s="414">
        <f t="shared" ref="F18:G18" si="0">ROUNDUP(F9/F16,0)</f>
        <v>0</v>
      </c>
      <c r="G18" s="426">
        <f t="shared" si="0"/>
        <v>0</v>
      </c>
      <c r="H18" s="383">
        <f>SUM(C18:G18)</f>
        <v>0</v>
      </c>
      <c r="I18" s="4"/>
      <c r="J18" s="4"/>
      <c r="K18" s="4"/>
      <c r="L18" s="4"/>
      <c r="M18" s="4"/>
      <c r="N18" s="376"/>
      <c r="O18" s="376"/>
      <c r="P18" s="376"/>
      <c r="Q18" s="376"/>
      <c r="R18" s="4"/>
      <c r="AD18" t="s">
        <v>40</v>
      </c>
      <c r="AE18">
        <v>500</v>
      </c>
      <c r="AF18">
        <v>500</v>
      </c>
      <c r="AG18">
        <v>500</v>
      </c>
    </row>
    <row r="19" spans="1:59" ht="15" customHeight="1" x14ac:dyDescent="0.2">
      <c r="A19" s="4"/>
      <c r="B19" s="411"/>
      <c r="C19" s="413"/>
      <c r="D19" s="415"/>
      <c r="E19" s="415"/>
      <c r="F19" s="415"/>
      <c r="G19" s="427"/>
      <c r="H19" s="384"/>
      <c r="I19" s="4"/>
      <c r="J19" s="4"/>
      <c r="K19" s="4"/>
      <c r="L19" s="4"/>
      <c r="M19" s="4"/>
      <c r="N19" s="217" t="str" cm="1">
        <f t="array" ref="N19">INDEX(Syst_Rang,ROW(N19)-ROW(N$18),1)</f>
        <v>Laptopwagen 14 Geräte</v>
      </c>
      <c r="O19" s="340">
        <f>SUMIF(N28:N118,N19,O28:O118)</f>
        <v>0</v>
      </c>
      <c r="P19" s="341">
        <f>IF(ISTEXT(N19),VLOOKUP(N19,Syst_Rang,2,0),0)</f>
        <v>1800</v>
      </c>
      <c r="Q19" s="341">
        <f>O19*P19</f>
        <v>0</v>
      </c>
      <c r="R19" s="4"/>
      <c r="AD19" t="s">
        <v>41</v>
      </c>
      <c r="AE19">
        <v>500</v>
      </c>
      <c r="AF19">
        <v>500</v>
      </c>
      <c r="AG19">
        <v>500</v>
      </c>
    </row>
    <row r="20" spans="1:59" ht="17.25" customHeight="1" thickBot="1" x14ac:dyDescent="0.25">
      <c r="A20" s="4"/>
      <c r="B20" s="359" t="s">
        <v>360</v>
      </c>
      <c r="C20" s="218">
        <v>0</v>
      </c>
      <c r="D20" s="219">
        <v>6</v>
      </c>
      <c r="E20" s="219">
        <v>2</v>
      </c>
      <c r="F20" s="219">
        <v>1</v>
      </c>
      <c r="G20" s="220">
        <v>1</v>
      </c>
      <c r="H20" s="214"/>
      <c r="I20" s="277"/>
      <c r="J20" s="4"/>
      <c r="K20" s="4"/>
      <c r="L20" s="4"/>
      <c r="M20" s="4"/>
      <c r="N20" s="304" t="str" cm="1">
        <f t="array" ref="N20">INDEX(Syst_Rang,ROW(N20)-ROW(N$18),1)</f>
        <v>Laptopwagen 16 Geräte</v>
      </c>
      <c r="O20" s="342">
        <f>SUMIF(N28:N118,N20,O28:O118)</f>
        <v>0</v>
      </c>
      <c r="P20" s="343">
        <f>IF(ISTEXT(N20),VLOOKUP(N20,Syst_Rang,2,0),0)</f>
        <v>2000</v>
      </c>
      <c r="Q20" s="343">
        <f t="shared" ref="Q20:Q23" si="1">O20*P20</f>
        <v>0</v>
      </c>
      <c r="R20" s="4"/>
      <c r="AD20" s="221" t="s">
        <v>25</v>
      </c>
      <c r="AE20" s="221">
        <f>SUM(AE17:AE19)</f>
        <v>2000</v>
      </c>
      <c r="AF20" s="221">
        <f>SUM(AF17:AF19)</f>
        <v>3500</v>
      </c>
      <c r="AG20" s="221">
        <f>SUM(AG17:AG19)</f>
        <v>4500</v>
      </c>
    </row>
    <row r="21" spans="1:59" ht="16" customHeight="1" thickTop="1" x14ac:dyDescent="0.2">
      <c r="A21" s="4"/>
      <c r="B21" s="360" t="s">
        <v>357</v>
      </c>
      <c r="C21" s="356"/>
      <c r="E21" s="356"/>
      <c r="F21" s="356"/>
      <c r="G21" s="357"/>
      <c r="H21" s="214"/>
      <c r="I21" s="277"/>
      <c r="J21" s="4"/>
      <c r="K21" s="4"/>
      <c r="L21" s="4"/>
      <c r="M21" s="4"/>
      <c r="N21" s="304" t="str" cm="1">
        <f t="array" ref="N21">INDEX(Syst_Rang,ROW(N21)-ROW(N$18),1)</f>
        <v>Tablet-Laptopschrank 16 Geräte</v>
      </c>
      <c r="O21" s="342">
        <f>SUMIF(N28:N118,N21,O28:O118)</f>
        <v>0</v>
      </c>
      <c r="P21" s="343">
        <f>IF(ISTEXT(N21),VLOOKUP(N21,Syst_Rang,2,0),0)</f>
        <v>900</v>
      </c>
      <c r="Q21" s="343">
        <f t="shared" si="1"/>
        <v>0</v>
      </c>
      <c r="R21" s="4"/>
      <c r="AD21" t="s">
        <v>42</v>
      </c>
      <c r="AE21">
        <f t="shared" ref="AE21:AG21" si="2">AE20/AE16</f>
        <v>166.66666666666666</v>
      </c>
      <c r="AF21">
        <f t="shared" si="2"/>
        <v>145.83333333333334</v>
      </c>
      <c r="AG21">
        <f t="shared" si="2"/>
        <v>93.75</v>
      </c>
    </row>
    <row r="22" spans="1:59" ht="16" customHeight="1" x14ac:dyDescent="0.2">
      <c r="A22" s="4"/>
      <c r="B22" s="222" t="s">
        <v>43</v>
      </c>
      <c r="C22" s="223">
        <f>IF(ISNUMBER(#REF!),#REF!,C16)</f>
        <v>0</v>
      </c>
      <c r="D22" s="224">
        <f>IF(ISNUMBER(C21),C21,D16)</f>
        <v>4</v>
      </c>
      <c r="E22" s="224">
        <f t="shared" ref="E22:G22" si="3">IF(ISNUMBER(E21),E21,E16)</f>
        <v>3</v>
      </c>
      <c r="F22" s="224">
        <f t="shared" si="3"/>
        <v>2</v>
      </c>
      <c r="G22" s="225">
        <f t="shared" si="3"/>
        <v>2</v>
      </c>
      <c r="H22" s="216"/>
      <c r="I22" s="277"/>
      <c r="J22" s="4"/>
      <c r="K22" s="4"/>
      <c r="L22" s="4"/>
      <c r="M22" s="4"/>
      <c r="N22" s="304" t="str" cm="1">
        <f t="array" ref="N22">INDEX(Syst_Rang,ROW(N22)-ROW(N$18),1)</f>
        <v>Tablettkoffer 14 Geräte</v>
      </c>
      <c r="O22" s="342">
        <f>SUMIF(N28:N118,N22,O28:O118)</f>
        <v>0</v>
      </c>
      <c r="P22" s="343">
        <f>IF(ISTEXT(N22),VLOOKUP(N22,Syst_Rang,2,0),0)</f>
        <v>1000</v>
      </c>
      <c r="Q22" s="343">
        <f t="shared" si="1"/>
        <v>0</v>
      </c>
      <c r="R22" s="4"/>
    </row>
    <row r="23" spans="1:59" ht="15" customHeight="1" x14ac:dyDescent="0.2">
      <c r="A23" s="189"/>
      <c r="B23" s="226" t="s">
        <v>44</v>
      </c>
      <c r="C23" s="227">
        <f>ROUNDUP(C10*Dotation_Déterm_1_2H,0)</f>
        <v>0</v>
      </c>
      <c r="D23" s="227">
        <f>ROUNDUP(D10*Dotation_Déterm_3_4H,0)</f>
        <v>0</v>
      </c>
      <c r="E23" s="227">
        <f>ROUNDUP(E9/Dotation_Déterm_5_6H,0)</f>
        <v>0</v>
      </c>
      <c r="F23" s="227">
        <f>ROUNDUP(F9/Dotation_Déterm_7_8H,0)</f>
        <v>0</v>
      </c>
      <c r="G23" s="228">
        <f>ROUNDUP(G9/Dotation_Déterm_9_11H,0)</f>
        <v>0</v>
      </c>
      <c r="H23" s="229">
        <f>SUM(C23:G23)</f>
        <v>0</v>
      </c>
      <c r="I23" s="138"/>
      <c r="J23" s="138"/>
      <c r="K23" s="138"/>
      <c r="L23" s="138"/>
      <c r="M23" s="138"/>
      <c r="N23" s="344" t="str" cm="1">
        <f t="array" ref="N23">INDEX(Syst_Rang,ROW(N23)-ROW(N$18),1)</f>
        <v>Andere</v>
      </c>
      <c r="O23" s="345">
        <f>SUMIF(N28:N118,N23,O28:O118)</f>
        <v>0</v>
      </c>
      <c r="P23" s="346">
        <f>IF(ISTEXT(N23),VLOOKUP(N23,Syst_Rang,2,0),0)</f>
        <v>1500</v>
      </c>
      <c r="Q23" s="346">
        <f t="shared" si="1"/>
        <v>0</v>
      </c>
      <c r="R23" s="4"/>
      <c r="T23" s="196"/>
    </row>
    <row r="24" spans="1:59" ht="15" hidden="1" customHeight="1" x14ac:dyDescent="0.2">
      <c r="A24" s="189"/>
      <c r="B24" s="230" t="s">
        <v>45</v>
      </c>
      <c r="C24" s="231">
        <f>IF(C10&gt;0,C9/C10,0)</f>
        <v>0</v>
      </c>
      <c r="D24" s="231">
        <f t="shared" ref="D24" si="4">IF(D10&gt;0,D9/D10,0)</f>
        <v>0</v>
      </c>
      <c r="E24" s="231"/>
      <c r="F24" s="231"/>
      <c r="G24" s="231"/>
      <c r="H24" s="232"/>
      <c r="I24" s="4"/>
      <c r="J24" s="4"/>
      <c r="K24" s="4"/>
      <c r="L24" s="4"/>
      <c r="M24" s="4"/>
      <c r="N24" s="4"/>
      <c r="O24" s="4"/>
      <c r="P24" s="4"/>
      <c r="Q24" s="4"/>
      <c r="R24" s="4"/>
      <c r="T24" s="196"/>
    </row>
    <row r="25" spans="1:59" ht="15" hidden="1" customHeight="1" x14ac:dyDescent="0.2">
      <c r="A25" s="4"/>
      <c r="B25" s="233" t="s">
        <v>46</v>
      </c>
      <c r="C25" s="234" cm="1">
        <f t="array" aca="1" ref="C25:G25" ca="1">INDIRECT("Moy_ElevePClasse")</f>
        <v>18.399999999999999</v>
      </c>
      <c r="D25" s="234">
        <f ca="1"/>
        <v>18.899999999999999</v>
      </c>
      <c r="E25" s="234">
        <f ca="1"/>
        <v>18.899999999999999</v>
      </c>
      <c r="F25" s="234">
        <f ca="1"/>
        <v>18.899999999999999</v>
      </c>
      <c r="G25" s="234">
        <f ca="1"/>
        <v>20.100000000000001</v>
      </c>
      <c r="H25" s="235"/>
      <c r="I25" s="4"/>
      <c r="J25" s="4"/>
      <c r="K25" s="4"/>
      <c r="L25" s="4"/>
      <c r="M25" s="4"/>
      <c r="N25" s="4"/>
      <c r="O25" s="4"/>
      <c r="P25" s="4"/>
      <c r="Q25" s="4"/>
      <c r="R25" s="4"/>
      <c r="AD25" t="s">
        <v>47</v>
      </c>
    </row>
    <row r="26" spans="1:59" ht="15" customHeight="1" x14ac:dyDescent="0.2">
      <c r="A26" s="4"/>
      <c r="B26" s="4"/>
      <c r="C26" s="4"/>
      <c r="D26" s="4"/>
      <c r="E26" s="4"/>
      <c r="F26" s="4"/>
      <c r="G26" s="4"/>
      <c r="H26" s="4"/>
      <c r="I26" s="4"/>
      <c r="J26" s="4"/>
      <c r="K26" s="4"/>
      <c r="L26" s="4"/>
      <c r="M26" s="4"/>
      <c r="N26" s="4"/>
      <c r="O26" s="4"/>
      <c r="P26" s="4"/>
      <c r="Q26" s="4"/>
      <c r="R26" s="4"/>
      <c r="AD26">
        <v>200</v>
      </c>
    </row>
    <row r="27" spans="1:59" ht="15" customHeight="1" x14ac:dyDescent="0.2">
      <c r="A27" s="4"/>
      <c r="B27" s="4"/>
      <c r="C27" s="4"/>
      <c r="D27" s="4"/>
      <c r="E27" s="4"/>
      <c r="F27" s="4"/>
      <c r="G27" s="4"/>
      <c r="H27" s="4"/>
      <c r="I27" s="4"/>
      <c r="J27" s="4"/>
      <c r="K27" s="4"/>
      <c r="L27" s="4"/>
      <c r="M27" s="4"/>
      <c r="N27" s="4"/>
      <c r="O27" s="4"/>
      <c r="P27" s="4"/>
      <c r="Q27" s="4"/>
      <c r="R27" s="4"/>
    </row>
    <row r="28" spans="1:59" ht="19" x14ac:dyDescent="0.2">
      <c r="A28" s="4"/>
      <c r="B28" s="428" t="s">
        <v>48</v>
      </c>
      <c r="C28" s="429"/>
      <c r="D28" s="429"/>
      <c r="E28" s="429"/>
      <c r="F28" s="429"/>
      <c r="G28" s="429"/>
      <c r="H28" s="429"/>
      <c r="I28" s="429"/>
      <c r="J28" s="429"/>
      <c r="K28" s="429"/>
      <c r="L28" s="429"/>
      <c r="M28" s="429"/>
      <c r="N28" s="429"/>
      <c r="O28" s="429"/>
      <c r="P28" s="429"/>
      <c r="Q28" s="430"/>
      <c r="R28" s="4"/>
      <c r="T28" s="236"/>
      <c r="AD28">
        <v>1</v>
      </c>
    </row>
    <row r="29" spans="1:59" ht="15" customHeight="1" x14ac:dyDescent="0.25">
      <c r="A29" s="4"/>
      <c r="B29" s="237"/>
      <c r="C29" s="193"/>
      <c r="D29" s="193"/>
      <c r="E29" s="193"/>
      <c r="F29" s="193"/>
      <c r="G29" s="193"/>
      <c r="H29" s="193"/>
      <c r="I29" s="193"/>
      <c r="J29" s="193"/>
      <c r="K29" s="193"/>
      <c r="L29" s="193"/>
      <c r="M29" s="193"/>
      <c r="N29" s="193"/>
      <c r="O29" s="193"/>
      <c r="P29" s="193"/>
      <c r="Q29" s="193"/>
      <c r="R29" s="4"/>
    </row>
    <row r="30" spans="1:59" ht="16" customHeight="1" x14ac:dyDescent="0.2">
      <c r="A30" s="4"/>
      <c r="B30" s="238" t="s">
        <v>49</v>
      </c>
      <c r="C30" s="113" t="s">
        <v>20</v>
      </c>
      <c r="D30" s="113" t="s">
        <v>21</v>
      </c>
      <c r="E30" s="113" t="s">
        <v>22</v>
      </c>
      <c r="F30" s="113" t="s">
        <v>23</v>
      </c>
      <c r="G30" s="96" t="s">
        <v>24</v>
      </c>
      <c r="H30" s="113" t="s">
        <v>25</v>
      </c>
      <c r="I30" s="193"/>
      <c r="J30" s="193"/>
      <c r="K30" s="193"/>
      <c r="L30" s="193"/>
      <c r="M30" s="193"/>
      <c r="N30" s="193"/>
      <c r="O30" s="193"/>
      <c r="P30" s="193"/>
      <c r="Q30" s="193"/>
      <c r="R30" s="4"/>
    </row>
    <row r="31" spans="1:59" ht="48" x14ac:dyDescent="0.2">
      <c r="A31" s="4"/>
      <c r="B31" s="338" t="s">
        <v>50</v>
      </c>
      <c r="C31" s="239">
        <f>SUM(C40:C44)+SUM(C57:C61)+SUM(C74:C78)+SUM(C91:C95)+SUM(C108:C112)</f>
        <v>0</v>
      </c>
      <c r="D31" s="239">
        <f>SUM(D40:D44)+SUM(D57:D61)+SUM(D74:D78)+SUM(D91:D95)+SUM(D108:D112)</f>
        <v>0</v>
      </c>
      <c r="E31" s="239">
        <f>SUM(E40:E44)+SUM(E57:E61)+SUM(E74:E78)+SUM(E91:E95)+SUM(E108:E112)</f>
        <v>0</v>
      </c>
      <c r="F31" s="239">
        <f>SUM(F40:F44)+SUM(F57:F61)+SUM(F74:F78)+SUM(F91:F95)+SUM(F108:F112)</f>
        <v>0</v>
      </c>
      <c r="G31" s="239">
        <f>SUM(G40:G44)+SUM(G57:G61)+SUM(G74:G78)+SUM(G91:G95)+SUM(G108:G112)</f>
        <v>0</v>
      </c>
      <c r="H31" s="239">
        <f>SUM(C31:G31)</f>
        <v>0</v>
      </c>
      <c r="I31" s="193"/>
      <c r="J31" s="193"/>
      <c r="K31" s="193"/>
      <c r="L31" s="193"/>
      <c r="M31" s="193"/>
      <c r="N31" s="193"/>
      <c r="O31" s="193"/>
      <c r="P31" s="193"/>
      <c r="Q31" s="193"/>
      <c r="R31" s="4"/>
    </row>
    <row r="32" spans="1:59" x14ac:dyDescent="0.2">
      <c r="A32" s="4"/>
      <c r="B32" s="4"/>
      <c r="C32" s="4"/>
      <c r="D32" s="4"/>
      <c r="E32" s="4"/>
      <c r="F32" s="4"/>
      <c r="G32" s="4"/>
      <c r="H32" s="4"/>
      <c r="I32" s="4"/>
      <c r="J32" s="4"/>
      <c r="K32" s="4"/>
      <c r="L32" s="4"/>
      <c r="M32" s="4"/>
      <c r="N32" s="193"/>
      <c r="O32" s="4"/>
      <c r="P32" s="4"/>
      <c r="Q32" s="4"/>
      <c r="R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row>
    <row r="33" spans="1:59" x14ac:dyDescent="0.2">
      <c r="A33" s="4"/>
      <c r="B33" s="193"/>
      <c r="C33" s="193"/>
      <c r="D33" s="193"/>
      <c r="E33" s="193"/>
      <c r="F33" s="193"/>
      <c r="G33" s="193"/>
      <c r="H33" s="193"/>
      <c r="I33" s="193"/>
      <c r="J33" s="193"/>
      <c r="K33" s="193"/>
      <c r="L33" s="193"/>
      <c r="M33" s="4"/>
      <c r="N33" s="193"/>
      <c r="O33" s="193"/>
      <c r="P33" s="193"/>
      <c r="Q33" s="193"/>
      <c r="R33" s="4"/>
      <c r="AC33" s="240" t="s">
        <v>51</v>
      </c>
      <c r="AF33" s="241"/>
      <c r="AG33" s="242">
        <f>IF(AND(AC34=AC36,$AC$36=$AC34),1,0)</f>
        <v>1</v>
      </c>
      <c r="AH33" s="242">
        <f>IF(AND(AC34=AC36,$AC$53=$AC34),2,0)</f>
        <v>2</v>
      </c>
      <c r="AI33" s="242">
        <f>IF(AND(AC34=AC36,$AC$70=$AC34),3,0)</f>
        <v>3</v>
      </c>
      <c r="AJ33" s="242">
        <f>IF(AND(AC34=AC36,$AC$87=$AC34),4,0)</f>
        <v>4</v>
      </c>
      <c r="AK33" s="242">
        <f>IF(AND(AC34=AC36,$AC$104=$AC34),5,0)</f>
        <v>5</v>
      </c>
      <c r="AL33" s="242" t="s">
        <v>52</v>
      </c>
      <c r="AM33" s="243" t="s">
        <v>53</v>
      </c>
    </row>
    <row r="34" spans="1:59" ht="19" x14ac:dyDescent="0.25">
      <c r="A34" s="4"/>
      <c r="B34" s="237" t="s">
        <v>54</v>
      </c>
      <c r="C34" s="244"/>
      <c r="D34" s="244" t="s">
        <v>55</v>
      </c>
      <c r="E34" s="423"/>
      <c r="F34" s="424"/>
      <c r="G34" s="193"/>
      <c r="H34" s="193"/>
      <c r="I34" s="193"/>
      <c r="J34" s="193"/>
      <c r="K34" s="193"/>
      <c r="L34" s="193"/>
      <c r="M34" s="4"/>
      <c r="N34" s="193"/>
      <c r="O34" s="193"/>
      <c r="P34" s="193"/>
      <c r="Q34" s="193"/>
      <c r="R34" s="4"/>
      <c r="AC34">
        <f>VALUE(RIGHT(B34,1))</f>
        <v>1</v>
      </c>
      <c r="AF34" s="245" t="s">
        <v>56</v>
      </c>
      <c r="AG34">
        <f>IF(AG33&gt;0,$BB$45,0)</f>
        <v>0</v>
      </c>
      <c r="AH34">
        <f>IF(AH33&gt;0,$BB$62,0)</f>
        <v>0</v>
      </c>
      <c r="AI34">
        <f>IF(AI33&gt;0,$BB$79,0)</f>
        <v>0</v>
      </c>
      <c r="AJ34">
        <f>IF(AJ33&gt;0,$BB$96,0)</f>
        <v>0</v>
      </c>
      <c r="AK34">
        <f>IF(AK33&gt;0,$BB$113,0)</f>
        <v>0</v>
      </c>
      <c r="AL34">
        <f>SUM(AG34:AK34)</f>
        <v>0</v>
      </c>
      <c r="AM34" s="246">
        <f>ROUND(AL34/10,0)*10</f>
        <v>0</v>
      </c>
    </row>
    <row r="35" spans="1:59" x14ac:dyDescent="0.2">
      <c r="A35" s="4"/>
      <c r="B35" s="193"/>
      <c r="C35" s="193"/>
      <c r="D35" s="244" t="s">
        <v>57</v>
      </c>
      <c r="E35" s="418" t="s">
        <v>58</v>
      </c>
      <c r="F35" s="419"/>
      <c r="G35" s="193"/>
      <c r="H35" s="193"/>
      <c r="I35" s="193"/>
      <c r="J35" s="193"/>
      <c r="K35" s="193"/>
      <c r="L35" s="193"/>
      <c r="M35" s="4"/>
      <c r="N35" s="193"/>
      <c r="O35" s="193"/>
      <c r="P35" s="193"/>
      <c r="Q35" s="193"/>
      <c r="R35" s="4"/>
      <c r="AF35" s="245" t="s">
        <v>59</v>
      </c>
      <c r="AG35">
        <f>IF(AG34&gt;0,$BC$45,0)</f>
        <v>0</v>
      </c>
      <c r="AH35">
        <f>IF(AH34&gt;0,$BC$62,0)</f>
        <v>0</v>
      </c>
      <c r="AI35">
        <f>IF(AI34&gt;0,$BC$79,0)</f>
        <v>0</v>
      </c>
      <c r="AJ35">
        <f>IF(AJ34&gt;0,$BC$96,0)</f>
        <v>0</v>
      </c>
      <c r="AK35">
        <f>IF(AK34&gt;0,$BC$113,0)</f>
        <v>0</v>
      </c>
      <c r="AL35">
        <f t="shared" ref="AL35:AL37" si="5">SUM(AG35:AK35)</f>
        <v>0</v>
      </c>
      <c r="AM35" s="246">
        <f>ROUNDUP(AL35/10,0)*10</f>
        <v>0</v>
      </c>
    </row>
    <row r="36" spans="1:59" x14ac:dyDescent="0.2">
      <c r="A36" s="4"/>
      <c r="B36" s="193"/>
      <c r="C36" s="193"/>
      <c r="D36" s="244" t="s">
        <v>60</v>
      </c>
      <c r="E36" s="390" t="s">
        <v>61</v>
      </c>
      <c r="F36" s="391"/>
      <c r="G36" s="247"/>
      <c r="H36" s="193"/>
      <c r="I36" s="193"/>
      <c r="J36" s="193"/>
      <c r="K36" s="193"/>
      <c r="L36" s="193"/>
      <c r="M36" s="4"/>
      <c r="N36" s="193"/>
      <c r="O36" s="193"/>
      <c r="P36" s="193"/>
      <c r="Q36" s="193"/>
      <c r="R36" s="4"/>
      <c r="AC36">
        <f>IF(OR(E35="non",E35="nein"),VALUE(RIGHT(E36,1)),VALUE(RIGHT(B34,1)))</f>
        <v>1</v>
      </c>
      <c r="AD36" t="str">
        <f>ADDRESS((AC36-1)*pas_vertical+ROW(E$36),COLUMN(AC36))</f>
        <v>$AC$36</v>
      </c>
      <c r="AE36" cm="1">
        <f t="array" aca="1" ref="AE36" ca="1">IF(AC36&lt;&gt;INDIRECT(ADDRESS((AC36-1)*pas_vertical+ROW(E$36),COLUMN(AC36))),1,0)</f>
        <v>0</v>
      </c>
      <c r="AF36" s="245" t="s">
        <v>62</v>
      </c>
      <c r="AG36">
        <f>IF(AG35&gt;0,$BD$45,0)</f>
        <v>0</v>
      </c>
      <c r="AH36">
        <f>IF(AH35&gt;0,$BD$62,0)</f>
        <v>0</v>
      </c>
      <c r="AI36">
        <f>IF(AI35&gt;0,$BD$79,0)</f>
        <v>0</v>
      </c>
      <c r="AJ36">
        <f>IF(AJ35&gt;0,$BD$96,0)</f>
        <v>0</v>
      </c>
      <c r="AK36">
        <f>IF(AK35&gt;0,$BD$113,0)</f>
        <v>0</v>
      </c>
      <c r="AL36">
        <f t="shared" si="5"/>
        <v>0</v>
      </c>
      <c r="AM36" s="246">
        <f t="shared" ref="AM36" si="6">ROUND(AL36/10,0)*10</f>
        <v>0</v>
      </c>
    </row>
    <row r="37" spans="1:59" x14ac:dyDescent="0.2">
      <c r="A37" s="4"/>
      <c r="B37" s="193"/>
      <c r="C37" s="193"/>
      <c r="D37" s="244"/>
      <c r="E37" s="193"/>
      <c r="F37" s="193"/>
      <c r="G37" s="193"/>
      <c r="H37" s="193"/>
      <c r="I37" s="193"/>
      <c r="J37" s="193"/>
      <c r="K37" s="193"/>
      <c r="L37" s="193"/>
      <c r="M37" s="4"/>
      <c r="N37" s="193"/>
      <c r="O37" s="193"/>
      <c r="P37" s="193"/>
      <c r="Q37" s="193"/>
      <c r="R37" s="4"/>
      <c r="T37" s="17" t="s">
        <v>63</v>
      </c>
      <c r="AF37" s="248" t="s">
        <v>64</v>
      </c>
      <c r="AG37" s="249">
        <f>IF(AG36&gt;0,$BE$45,0)</f>
        <v>0</v>
      </c>
      <c r="AH37" s="249">
        <f>IF(AH36&gt;0,$BE$62,0)</f>
        <v>0</v>
      </c>
      <c r="AI37" s="249">
        <f>IF(AI36&gt;0,$BE$79,0)</f>
        <v>0</v>
      </c>
      <c r="AJ37" s="249">
        <f>IF(AJ36&gt;0,$BE$96,0)</f>
        <v>0</v>
      </c>
      <c r="AK37" s="249">
        <f>IF(AK36&gt;0,$BE$113,0)</f>
        <v>0</v>
      </c>
      <c r="AL37" s="249">
        <f t="shared" si="5"/>
        <v>0</v>
      </c>
      <c r="AM37" s="250">
        <f>ROUNDUP(AL37/10,0)*10</f>
        <v>0</v>
      </c>
    </row>
    <row r="38" spans="1:59" ht="28" customHeight="1" x14ac:dyDescent="0.2">
      <c r="A38" s="4"/>
      <c r="B38" s="238"/>
      <c r="C38" s="387" t="s">
        <v>65</v>
      </c>
      <c r="D38" s="388"/>
      <c r="E38" s="388"/>
      <c r="F38" s="388"/>
      <c r="G38" s="389"/>
      <c r="H38" s="398" t="s">
        <v>66</v>
      </c>
      <c r="I38" s="387" t="s">
        <v>67</v>
      </c>
      <c r="J38" s="389"/>
      <c r="K38" s="387" t="s">
        <v>68</v>
      </c>
      <c r="L38" s="389"/>
      <c r="M38" s="251"/>
      <c r="N38" s="387" t="s">
        <v>69</v>
      </c>
      <c r="O38" s="388"/>
      <c r="P38" s="388"/>
      <c r="Q38" s="389"/>
      <c r="R38" s="4"/>
      <c r="T38" s="252" t="s">
        <v>70</v>
      </c>
      <c r="U38" s="240" t="s">
        <v>71</v>
      </c>
      <c r="Y38" s="240" t="s">
        <v>72</v>
      </c>
      <c r="Z38" s="240"/>
      <c r="AA38" s="240"/>
    </row>
    <row r="39" spans="1:59" ht="64" x14ac:dyDescent="0.2">
      <c r="A39" s="4"/>
      <c r="B39" s="238"/>
      <c r="C39" s="113" t="s">
        <v>20</v>
      </c>
      <c r="D39" s="113" t="s">
        <v>21</v>
      </c>
      <c r="E39" s="113" t="s">
        <v>22</v>
      </c>
      <c r="F39" s="113" t="s">
        <v>23</v>
      </c>
      <c r="G39" s="113" t="s">
        <v>24</v>
      </c>
      <c r="H39" s="399"/>
      <c r="I39" s="113" t="s">
        <v>73</v>
      </c>
      <c r="J39" s="113" t="s">
        <v>74</v>
      </c>
      <c r="K39" s="113" t="s">
        <v>75</v>
      </c>
      <c r="L39" s="113" t="s">
        <v>76</v>
      </c>
      <c r="M39" s="253"/>
      <c r="N39" s="113" t="s">
        <v>35</v>
      </c>
      <c r="O39" s="113" t="s">
        <v>77</v>
      </c>
      <c r="P39" s="113" t="s">
        <v>78</v>
      </c>
      <c r="Q39" s="113" t="s">
        <v>79</v>
      </c>
      <c r="R39" s="4"/>
      <c r="T39" s="252"/>
      <c r="U39" s="254" t="s">
        <v>80</v>
      </c>
      <c r="V39" s="254" t="s">
        <v>81</v>
      </c>
      <c r="W39" s="254" t="s">
        <v>82</v>
      </c>
      <c r="Y39" s="254" t="s">
        <v>83</v>
      </c>
      <c r="Z39" s="254" t="s">
        <v>84</v>
      </c>
      <c r="AA39" s="254" t="s">
        <v>85</v>
      </c>
      <c r="AC39" s="254" t="s">
        <v>86</v>
      </c>
      <c r="AD39" s="254" t="s">
        <v>87</v>
      </c>
      <c r="AE39" s="254" t="s">
        <v>88</v>
      </c>
      <c r="AF39" s="254" t="s">
        <v>89</v>
      </c>
      <c r="AG39" s="254" t="s">
        <v>90</v>
      </c>
      <c r="AH39" s="255" t="s">
        <v>91</v>
      </c>
      <c r="AI39" s="254" t="s">
        <v>92</v>
      </c>
      <c r="AJ39" s="254" t="s">
        <v>93</v>
      </c>
      <c r="AK39" s="254" t="s">
        <v>94</v>
      </c>
      <c r="AL39" s="255" t="s">
        <v>95</v>
      </c>
      <c r="AM39" s="254" t="s">
        <v>96</v>
      </c>
      <c r="AN39" s="254" t="s">
        <v>97</v>
      </c>
      <c r="AO39" s="254" t="s">
        <v>98</v>
      </c>
      <c r="AP39" s="255" t="s">
        <v>99</v>
      </c>
      <c r="AQ39" s="254" t="s">
        <v>100</v>
      </c>
      <c r="AR39" s="254" t="s">
        <v>101</v>
      </c>
      <c r="AS39" s="254" t="s">
        <v>102</v>
      </c>
      <c r="AT39" s="255" t="s">
        <v>103</v>
      </c>
      <c r="AU39" s="254" t="s">
        <v>104</v>
      </c>
      <c r="AV39" s="254" t="s">
        <v>105</v>
      </c>
      <c r="AW39" s="254" t="s">
        <v>106</v>
      </c>
      <c r="AX39" s="255" t="s">
        <v>107</v>
      </c>
      <c r="AY39" s="254" t="s">
        <v>108</v>
      </c>
      <c r="AZ39" s="254" t="s">
        <v>109</v>
      </c>
      <c r="BA39" s="254" t="s">
        <v>110</v>
      </c>
      <c r="BB39" s="256" t="s">
        <v>111</v>
      </c>
      <c r="BC39" s="256" t="s">
        <v>112</v>
      </c>
      <c r="BD39" s="256" t="s">
        <v>113</v>
      </c>
      <c r="BE39" s="256" t="s">
        <v>114</v>
      </c>
      <c r="BF39" s="254" t="s">
        <v>115</v>
      </c>
      <c r="BG39" s="254" t="s">
        <v>116</v>
      </c>
    </row>
    <row r="40" spans="1:59" ht="16" x14ac:dyDescent="0.2">
      <c r="A40" s="4"/>
      <c r="B40" s="257" t="s">
        <v>117</v>
      </c>
      <c r="C40" s="88"/>
      <c r="D40" s="89"/>
      <c r="E40" s="89"/>
      <c r="F40" s="89"/>
      <c r="G40" s="89"/>
      <c r="H40" s="55"/>
      <c r="I40" s="56"/>
      <c r="J40" s="56"/>
      <c r="K40" s="258">
        <f>SUM(C40:G40)+H40+(J40&gt;0)</f>
        <v>0</v>
      </c>
      <c r="L40" s="258">
        <f>3*(SUM(C40:G40)+H40)+I40+1*(J40&gt;0)</f>
        <v>0</v>
      </c>
      <c r="M40" s="259"/>
      <c r="N40" s="347"/>
      <c r="O40" s="348"/>
      <c r="P40" s="349"/>
      <c r="Q40" s="260">
        <f>O40-P40</f>
        <v>0</v>
      </c>
      <c r="R40" s="4"/>
      <c r="T40" s="252">
        <f ca="1">C40*Dotation_Déterm_1_2H+D40*Dotation_Déterm_3_4H+ROUNDUP(E40*ElevePClasse_5_6H/Dotation_Déterm_5_6H,0)+ROUNDUP(F40*ElevePClasse_7_8H/Dotation_Déterm_7_8H,0)+ROUNDUP(G40*ElevePClasse_9_11H/Dotation_Déterm_9_11H,0)</f>
        <v>0</v>
      </c>
      <c r="U40">
        <f>IF(ISTEXT(N40),VLOOKUP(N40,Syst_Rang,2,0),0)</f>
        <v>0</v>
      </c>
      <c r="V40">
        <f>U40*O40</f>
        <v>0</v>
      </c>
      <c r="W40">
        <f>U40*Q40</f>
        <v>0</v>
      </c>
      <c r="Y40">
        <f>L40+AA41</f>
        <v>0</v>
      </c>
      <c r="Z40">
        <f>IF(Y40&gt;22,ROUNDUP(Y40/22,0),0)</f>
        <v>0</v>
      </c>
      <c r="AA40">
        <f t="shared" ref="AA40:AA43" si="7">IF(Z40=0,Y40,0)</f>
        <v>0</v>
      </c>
      <c r="AC40">
        <f>C40*Dotation_Déterm_1_2H+D40*Dotation_Déterm_3_4H+ROUNDUP(E40*Max_ElevePClasse_5_6H/Dotation_Déterm_5_6H,0)+ROUNDUP(F40*Max_ElevePClasse_7_8H/Dotation_Déterm_7_8H,0)</f>
        <v>0</v>
      </c>
      <c r="AD40">
        <f>ROUNDUP(G40*Moy_ElevePClasse_9_11H/Dotation_Déterm_9_12H,0)</f>
        <v>0</v>
      </c>
      <c r="AE40" s="261">
        <f>SUM(C40:G40)</f>
        <v>0</v>
      </c>
      <c r="AF40" s="261">
        <f>I40</f>
        <v>0</v>
      </c>
      <c r="AG40" s="261">
        <f>$J40</f>
        <v>0</v>
      </c>
      <c r="AH40" s="245"/>
      <c r="AL40" s="245"/>
      <c r="AP40" s="245"/>
      <c r="AT40" s="245"/>
      <c r="AX40" s="245"/>
      <c r="BB40" s="245"/>
    </row>
    <row r="41" spans="1:59" ht="16" x14ac:dyDescent="0.2">
      <c r="A41" s="4"/>
      <c r="B41" s="262" t="s">
        <v>118</v>
      </c>
      <c r="C41" s="88"/>
      <c r="D41" s="89"/>
      <c r="E41" s="89"/>
      <c r="F41" s="89"/>
      <c r="G41" s="89"/>
      <c r="H41" s="55"/>
      <c r="I41" s="56"/>
      <c r="J41" s="56"/>
      <c r="K41" s="258">
        <f>SUM(C41:G41)+H41+(J41&gt;0)</f>
        <v>0</v>
      </c>
      <c r="L41" s="258">
        <f>3*(SUM(C41:G41)+H41)+I41+1*(J41&gt;0)</f>
        <v>0</v>
      </c>
      <c r="M41" s="259"/>
      <c r="N41" s="350"/>
      <c r="O41" s="351"/>
      <c r="P41" s="352"/>
      <c r="Q41" s="258">
        <f>O41-P41</f>
        <v>0</v>
      </c>
      <c r="R41" s="4"/>
      <c r="T41" s="252">
        <f ca="1">C41*Dotation_Déterm_1_2H+D41*Dotation_Déterm_3_4H+ROUNDUP(E41*ElevePClasse_5_6H/Dotation_Déterm_5_6H,0)+ROUNDUP(F41*ElevePClasse_7_8H/Dotation_Déterm_7_8H,0)+ROUNDUP(G41*ElevePClasse_9_11H/Dotation_Déterm_9_11H,0)</f>
        <v>0</v>
      </c>
      <c r="U41">
        <f>IF(ISTEXT(N41),VLOOKUP(N41,Syst_Rang,2,0),0)</f>
        <v>0</v>
      </c>
      <c r="V41">
        <f t="shared" ref="V41:V44" si="8">U41*O41</f>
        <v>0</v>
      </c>
      <c r="W41">
        <f>U41*Q41</f>
        <v>0</v>
      </c>
      <c r="Y41">
        <f>L41+AA42</f>
        <v>0</v>
      </c>
      <c r="Z41">
        <f>IF(Y41+L40&gt;22,ROUNDUP(Y41/22,0),0)</f>
        <v>0</v>
      </c>
      <c r="AA41">
        <f t="shared" si="7"/>
        <v>0</v>
      </c>
      <c r="AC41">
        <f>C41*Dotation_Déterm_1_2H+D41*Dotation_Déterm_3_4H+ROUNDUP(E41*Max_ElevePClasse_5_6H/Dotation_Déterm_5_6H,0)+ROUNDUP(F41*Max_ElevePClasse_7_8H/Dotation_Déterm_7_8H,0)</f>
        <v>0</v>
      </c>
      <c r="AD41">
        <f>ROUNDUP(G41*Moy_ElevePClasse_9_11H/Dotation_Déterm_9_12H,0)</f>
        <v>0</v>
      </c>
      <c r="AE41" s="261">
        <f>SUM(C41:G41)</f>
        <v>0</v>
      </c>
      <c r="AF41" s="261">
        <f>I41</f>
        <v>0</v>
      </c>
      <c r="AG41">
        <f t="shared" ref="AG41:AG44" si="9">$J41</f>
        <v>0</v>
      </c>
      <c r="AH41" s="245"/>
      <c r="AL41" s="245"/>
      <c r="AP41" s="245"/>
      <c r="AT41" s="245"/>
      <c r="AX41" s="245"/>
      <c r="BB41" s="245"/>
    </row>
    <row r="42" spans="1:59" ht="16" x14ac:dyDescent="0.2">
      <c r="A42" s="4"/>
      <c r="B42" s="262" t="s">
        <v>119</v>
      </c>
      <c r="C42" s="88"/>
      <c r="D42" s="89"/>
      <c r="E42" s="89"/>
      <c r="F42" s="89"/>
      <c r="G42" s="89"/>
      <c r="H42" s="55"/>
      <c r="I42" s="56"/>
      <c r="J42" s="56"/>
      <c r="K42" s="258">
        <f>SUM(C42:G42)+H42+(J42&gt;0)</f>
        <v>0</v>
      </c>
      <c r="L42" s="258">
        <f>3*(SUM(C42:G42)+H42)+I42+1*(J42&gt;0)</f>
        <v>0</v>
      </c>
      <c r="M42" s="259"/>
      <c r="N42" s="350"/>
      <c r="O42" s="351"/>
      <c r="P42" s="352"/>
      <c r="Q42" s="258">
        <f t="shared" ref="Q42:Q44" si="10">O42-P42</f>
        <v>0</v>
      </c>
      <c r="R42" s="4"/>
      <c r="T42" s="252">
        <f ca="1">C42*Dotation_Déterm_1_2H+D42*Dotation_Déterm_3_4H+ROUNDUP(E42*ElevePClasse_5_6H/Dotation_Déterm_5_6H,0)+ROUNDUP(F42*ElevePClasse_7_8H/Dotation_Déterm_7_8H,0)+ROUNDUP(G42*ElevePClasse_9_11H/Dotation_Déterm_9_11H,0)</f>
        <v>0</v>
      </c>
      <c r="U42">
        <f>IF(ISTEXT(N42),VLOOKUP(N42,Syst_Rang,2,0),0)</f>
        <v>0</v>
      </c>
      <c r="V42">
        <f t="shared" si="8"/>
        <v>0</v>
      </c>
      <c r="W42">
        <f t="shared" ref="W42:W44" si="11">U42*Q42</f>
        <v>0</v>
      </c>
      <c r="Y42">
        <f>L42+AA43</f>
        <v>0</v>
      </c>
      <c r="Z42">
        <f>IF(Y42+L41&gt;22,ROUNDUP(Y42/22,0),0)</f>
        <v>0</v>
      </c>
      <c r="AA42">
        <f t="shared" si="7"/>
        <v>0</v>
      </c>
      <c r="AC42">
        <f>C42*Dotation_Déterm_1_2H+D42*Dotation_Déterm_3_4H+ROUNDUP(E42*Max_ElevePClasse_5_6H/Dotation_Déterm_5_6H,0)+ROUNDUP(F42*Max_ElevePClasse_7_8H/Dotation_Déterm_7_8H,0)</f>
        <v>0</v>
      </c>
      <c r="AD42">
        <f>ROUNDUP(G42*Moy_ElevePClasse_9_11H/Dotation_Déterm_9_12H,0)</f>
        <v>0</v>
      </c>
      <c r="AE42" s="261">
        <f>SUM(C42:G42)</f>
        <v>0</v>
      </c>
      <c r="AF42" s="261">
        <f>I42</f>
        <v>0</v>
      </c>
      <c r="AG42">
        <f t="shared" si="9"/>
        <v>0</v>
      </c>
      <c r="AH42" s="245"/>
      <c r="AL42" s="245"/>
      <c r="AP42" s="245"/>
      <c r="AT42" s="245"/>
      <c r="AX42" s="245"/>
      <c r="BB42" s="245"/>
    </row>
    <row r="43" spans="1:59" ht="16" x14ac:dyDescent="0.2">
      <c r="A43" s="4"/>
      <c r="B43" s="262" t="s">
        <v>120</v>
      </c>
      <c r="C43" s="88"/>
      <c r="D43" s="89"/>
      <c r="E43" s="89"/>
      <c r="F43" s="89"/>
      <c r="G43" s="89"/>
      <c r="H43" s="55"/>
      <c r="I43" s="56"/>
      <c r="J43" s="56"/>
      <c r="K43" s="258">
        <f>SUM(C43:G43)+H43+(J43&gt;0)</f>
        <v>0</v>
      </c>
      <c r="L43" s="258">
        <f>3*(SUM(C43:G43)+H43)+I43+1*(J43&gt;0)</f>
        <v>0</v>
      </c>
      <c r="M43" s="259"/>
      <c r="N43" s="350"/>
      <c r="O43" s="351"/>
      <c r="P43" s="352"/>
      <c r="Q43" s="258">
        <f t="shared" si="10"/>
        <v>0</v>
      </c>
      <c r="R43" s="4"/>
      <c r="T43" s="252">
        <f ca="1">C43*Dotation_Déterm_1_2H+D43*Dotation_Déterm_3_4H+ROUNDUP(E43*ElevePClasse_5_6H/Dotation_Déterm_5_6H,0)+ROUNDUP(F43*ElevePClasse_7_8H/Dotation_Déterm_7_8H,0)+ROUNDUP(G43*ElevePClasse_9_11H/Dotation_Déterm_9_11H,0)</f>
        <v>0</v>
      </c>
      <c r="U43">
        <f>IF(ISTEXT(N43),VLOOKUP(N43,Syst_Rang,2,0),0)</f>
        <v>0</v>
      </c>
      <c r="V43">
        <f t="shared" si="8"/>
        <v>0</v>
      </c>
      <c r="W43">
        <f t="shared" si="11"/>
        <v>0</v>
      </c>
      <c r="Y43">
        <f>L43+AA44</f>
        <v>0</v>
      </c>
      <c r="Z43">
        <f>IF(Y43+L42&gt;22,ROUNDUP(Y43/22,0),0)</f>
        <v>0</v>
      </c>
      <c r="AA43">
        <f t="shared" si="7"/>
        <v>0</v>
      </c>
      <c r="AC43">
        <f>C43*Dotation_Déterm_1_2H+D43*Dotation_Déterm_3_4H+ROUNDUP(E43*Max_ElevePClasse_5_6H/Dotation_Déterm_5_6H,0)+ROUNDUP(F43*Max_ElevePClasse_7_8H/Dotation_Déterm_7_8H,0)</f>
        <v>0</v>
      </c>
      <c r="AD43">
        <f>ROUNDUP(G43*Moy_ElevePClasse_9_11H/Dotation_Déterm_9_12H,0)</f>
        <v>0</v>
      </c>
      <c r="AE43" s="261">
        <f>SUM(C43:G43)</f>
        <v>0</v>
      </c>
      <c r="AF43" s="261">
        <f>I43</f>
        <v>0</v>
      </c>
      <c r="AG43">
        <f t="shared" si="9"/>
        <v>0</v>
      </c>
      <c r="AH43" s="245"/>
      <c r="AL43" s="245"/>
      <c r="AP43" s="245"/>
      <c r="AT43" s="245"/>
      <c r="AX43" s="245"/>
      <c r="BB43" s="245"/>
    </row>
    <row r="44" spans="1:59" ht="16" x14ac:dyDescent="0.2">
      <c r="A44" s="4"/>
      <c r="B44" s="263" t="s">
        <v>121</v>
      </c>
      <c r="C44" s="90"/>
      <c r="D44" s="91"/>
      <c r="E44" s="91"/>
      <c r="F44" s="91"/>
      <c r="G44" s="91"/>
      <c r="H44" s="57"/>
      <c r="I44" s="58"/>
      <c r="J44" s="58"/>
      <c r="K44" s="258">
        <f>SUM(C44:G44)+H44+(J44&gt;0)</f>
        <v>0</v>
      </c>
      <c r="L44" s="258">
        <f>3*(SUM(C44:G44)+H44)+I44+1*(J44&gt;0)</f>
        <v>0</v>
      </c>
      <c r="M44" s="259"/>
      <c r="N44" s="353"/>
      <c r="O44" s="354"/>
      <c r="P44" s="355"/>
      <c r="Q44" s="264">
        <f t="shared" si="10"/>
        <v>0</v>
      </c>
      <c r="R44" s="4"/>
      <c r="T44" s="252">
        <f ca="1">C44*Dotation_Déterm_1_2H+D44*Dotation_Déterm_3_4H+ROUNDUP(E44*ElevePClasse_5_6H/Dotation_Déterm_5_6H,0)+ROUNDUP(F44*ElevePClasse_7_8H/Dotation_Déterm_7_8H,0)+ROUNDUP(G44*ElevePClasse_9_11H/Dotation_Déterm_9_11H,0)</f>
        <v>0</v>
      </c>
      <c r="U44">
        <f>IF(ISTEXT(N44),VLOOKUP(N44,Syst_Rang,2,0),0)</f>
        <v>0</v>
      </c>
      <c r="V44">
        <f t="shared" si="8"/>
        <v>0</v>
      </c>
      <c r="W44">
        <f t="shared" si="11"/>
        <v>0</v>
      </c>
      <c r="Y44">
        <f>L44</f>
        <v>0</v>
      </c>
      <c r="Z44">
        <f>IF(Y44+L43&gt;22,ROUNDUP(Y44/22,0),0)</f>
        <v>0</v>
      </c>
      <c r="AA44">
        <f>IF(Z44=0,Y44,0)</f>
        <v>0</v>
      </c>
      <c r="AC44">
        <f>C44*Dotation_Déterm_1_2H+D44*Dotation_Déterm_3_4H+ROUNDUP(E44*Max_ElevePClasse_5_6H/Dotation_Déterm_5_6H,0)+ROUNDUP(F44*Max_ElevePClasse_7_8H/Dotation_Déterm_7_8H,0)</f>
        <v>0</v>
      </c>
      <c r="AD44">
        <f>ROUNDUP(G44*Moy_ElevePClasse_9_11H/Dotation_Déterm_9_12H,0)</f>
        <v>0</v>
      </c>
      <c r="AE44" s="261">
        <f>SUM(C44:G44)</f>
        <v>0</v>
      </c>
      <c r="AF44" s="261">
        <f>I44</f>
        <v>0</v>
      </c>
      <c r="AG44">
        <f t="shared" si="9"/>
        <v>0</v>
      </c>
      <c r="AH44" s="245"/>
      <c r="AL44" s="245"/>
      <c r="AP44" s="245"/>
      <c r="AT44" s="245"/>
      <c r="AX44" s="245"/>
      <c r="BB44" s="245"/>
    </row>
    <row r="45" spans="1:59" ht="17.25" customHeight="1" thickBot="1" x14ac:dyDescent="0.25">
      <c r="A45" s="4"/>
      <c r="B45" s="265"/>
      <c r="C45" s="266"/>
      <c r="D45" s="266"/>
      <c r="E45" s="266"/>
      <c r="F45" s="266"/>
      <c r="G45" s="266"/>
      <c r="H45" s="266"/>
      <c r="I45" s="266"/>
      <c r="J45" s="267"/>
      <c r="K45" s="239">
        <f>SUM(K40:K44)</f>
        <v>0</v>
      </c>
      <c r="L45" s="239">
        <f>SUM(L40:L44)</f>
        <v>0</v>
      </c>
      <c r="M45" s="268"/>
      <c r="N45" s="259"/>
      <c r="O45" s="303">
        <f>SUM(O40:O44)</f>
        <v>0</v>
      </c>
      <c r="P45" s="303">
        <f>SUM(P40:P44)</f>
        <v>0</v>
      </c>
      <c r="Q45" s="303">
        <f>SUM(Q40:Q44)</f>
        <v>0</v>
      </c>
      <c r="R45" s="4"/>
      <c r="T45" s="252">
        <f>SUM(C45:G45)</f>
        <v>0</v>
      </c>
      <c r="U45" s="269"/>
      <c r="V45" s="269">
        <f>SUM(V40:V44)</f>
        <v>0</v>
      </c>
      <c r="W45" s="269">
        <f t="shared" ref="W45:AD45" si="12">SUM(W40:W44)</f>
        <v>0</v>
      </c>
      <c r="Y45">
        <f>AA40</f>
        <v>0</v>
      </c>
      <c r="Z45">
        <f>IF(L45&gt;0,MAX(1,ROUNDUP(Y45/22,0)),0)</f>
        <v>0</v>
      </c>
      <c r="AC45" s="269">
        <f t="shared" si="12"/>
        <v>0</v>
      </c>
      <c r="AD45" s="269">
        <f t="shared" si="12"/>
        <v>0</v>
      </c>
      <c r="AE45" s="269">
        <f>SUM(AE40:AE44)</f>
        <v>0</v>
      </c>
      <c r="AF45" s="269">
        <f>SUM(AF40:AF44)</f>
        <v>0</v>
      </c>
      <c r="AG45" s="269">
        <f>SUM(AG40:AG44)</f>
        <v>0</v>
      </c>
      <c r="AH45" s="270">
        <f>$AC45*INDEX(BW_ELE_1_8H,1)</f>
        <v>0</v>
      </c>
      <c r="AI45" s="269">
        <f>$AC45*INDEX(BW_ELE_1_8H,2)</f>
        <v>0</v>
      </c>
      <c r="AJ45" s="269">
        <f>$AC45*INDEX(BW_ELE_1_8H,3)</f>
        <v>0</v>
      </c>
      <c r="AK45" s="269">
        <f>$AC45*INDEX(BW_ELE_1_8H,4)</f>
        <v>0</v>
      </c>
      <c r="AL45" s="270">
        <f>$AD45*INDEX(BW_ELE_9_11H,1)</f>
        <v>0</v>
      </c>
      <c r="AM45" s="269">
        <f>$AD45*INDEX(BW_ELE_9_11H,2)</f>
        <v>0</v>
      </c>
      <c r="AN45" s="269">
        <f>$AD45*INDEX(BW_ELE_9_11H,3)</f>
        <v>0</v>
      </c>
      <c r="AO45" s="269">
        <f>$AD45*INDEX(BW_ELE_9_11H,4)</f>
        <v>0</v>
      </c>
      <c r="AP45" s="270">
        <f>$AE45*INDEX(BW_ENSEIGN,1)</f>
        <v>0</v>
      </c>
      <c r="AQ45" s="270">
        <f>$AE45*INDEX(BW_ENSEIGN,2)</f>
        <v>0</v>
      </c>
      <c r="AR45" s="270">
        <f>$AE45*INDEX(BW_ENSEIGN,3)</f>
        <v>0</v>
      </c>
      <c r="AS45" s="270">
        <f>$AE45*INDEX(BW_ENSEIGN,4)</f>
        <v>0</v>
      </c>
      <c r="AT45" s="270">
        <f>$AF45*INDEX(BW_SALLE_INFO,1)</f>
        <v>0</v>
      </c>
      <c r="AU45" s="269">
        <f>$AF45*INDEX(BW_SALLE_INFO,2)</f>
        <v>0</v>
      </c>
      <c r="AV45" s="269">
        <f>$AF45*INDEX(BW_SALLE_INFO,3)</f>
        <v>0</v>
      </c>
      <c r="AW45" s="269">
        <f>$AF45*INDEX(BW_SALLE_INFO,4)</f>
        <v>0</v>
      </c>
      <c r="AX45" s="270">
        <f>$AG45*INDEX(BW_AUTRES,1)</f>
        <v>0</v>
      </c>
      <c r="AY45" s="269">
        <f>$AG45*INDEX(BW_AUTRES,2)</f>
        <v>0</v>
      </c>
      <c r="AZ45" s="269">
        <f>$AG45*INDEX(BW_AUTRES,3)</f>
        <v>0</v>
      </c>
      <c r="BA45" s="269">
        <f>$AG45*INDEX(BW_AUTRES,4)</f>
        <v>0</v>
      </c>
      <c r="BB45" s="270">
        <f>AH45+AL45+AP45+AT45+AX45</f>
        <v>0</v>
      </c>
      <c r="BC45" s="271">
        <f>AJ45+AN45+AR45+AV45+AZ45</f>
        <v>0</v>
      </c>
      <c r="BD45" s="270">
        <f t="shared" ref="BD45" si="13">AI45+AM45+AQ45+AU45+AY45</f>
        <v>0</v>
      </c>
      <c r="BE45" s="271">
        <f>AK45+AO45+AS45+AW45+BA45</f>
        <v>0</v>
      </c>
      <c r="BF45" s="269">
        <f>IF(SUM($AC45:$AG45)&gt;0,BB45/SUM($AC45:$AG45),0)</f>
        <v>0</v>
      </c>
      <c r="BG45" s="269">
        <f>IF(SUM($AC45:$AG45)&gt;0,BD45/SUM($AC45:$AG45),0)</f>
        <v>0</v>
      </c>
    </row>
    <row r="46" spans="1:59" ht="16" customHeight="1" thickBot="1" x14ac:dyDescent="0.25">
      <c r="A46" s="4"/>
      <c r="B46" s="387" t="s">
        <v>122</v>
      </c>
      <c r="C46" s="388"/>
      <c r="D46" s="388"/>
      <c r="E46" s="388"/>
      <c r="F46" s="388"/>
      <c r="G46" s="389"/>
      <c r="H46" s="259"/>
      <c r="I46" s="113" t="s">
        <v>68</v>
      </c>
      <c r="J46" s="259"/>
      <c r="K46" s="259"/>
      <c r="L46" s="259"/>
      <c r="M46" s="259"/>
      <c r="N46" s="259"/>
      <c r="O46" s="259"/>
      <c r="P46" s="259"/>
      <c r="Q46" s="259"/>
      <c r="R46" s="4"/>
      <c r="T46" s="252"/>
      <c r="Y46" s="269"/>
      <c r="Z46" s="269">
        <f>SUM(Z40:Z45)</f>
        <v>0</v>
      </c>
      <c r="AA46" s="269"/>
    </row>
    <row r="47" spans="1:59" ht="16" x14ac:dyDescent="0.2">
      <c r="A47" s="4"/>
      <c r="B47" s="400" t="s">
        <v>123</v>
      </c>
      <c r="C47" s="401"/>
      <c r="D47" s="402"/>
      <c r="E47" s="272" t="str">
        <f>IF(AM34&gt;0,AM34,"&gt; Geb. "&amp;AC36)</f>
        <v>&gt; Geb. 1</v>
      </c>
      <c r="F47" s="403" t="s">
        <v>124</v>
      </c>
      <c r="G47" s="404"/>
      <c r="H47" s="259"/>
      <c r="I47" s="392" t="s">
        <v>125</v>
      </c>
      <c r="J47" s="393"/>
      <c r="K47" s="394"/>
      <c r="L47" s="273">
        <f>Z46</f>
        <v>0</v>
      </c>
      <c r="M47" s="259"/>
      <c r="N47" s="4"/>
      <c r="O47" s="4"/>
      <c r="P47" s="4"/>
      <c r="Q47" s="4"/>
      <c r="R47" s="4"/>
      <c r="T47" s="252"/>
      <c r="Z47">
        <f>COUNTIF(Z40:Z45,"&gt;0")</f>
        <v>0</v>
      </c>
    </row>
    <row r="48" spans="1:59" ht="16" customHeight="1" x14ac:dyDescent="0.2">
      <c r="A48" s="4"/>
      <c r="B48" s="405" t="s">
        <v>126</v>
      </c>
      <c r="C48" s="406"/>
      <c r="D48" s="407"/>
      <c r="E48" s="274" t="str">
        <f>IF(AM36&gt;0,AM36,"&gt; Geb. "&amp;AC36)</f>
        <v>&gt; Geb. 1</v>
      </c>
      <c r="F48" s="408" t="str">
        <f>IF(AG34&gt;0,"1 ","") &amp; IF(AH34&gt;0,"2 ","") &amp; IF(AI34&gt;0,"3 ","") &amp; IF(AJ34&gt;0,"4 ","") &amp; IF(AK34&gt;0,"5","")</f>
        <v/>
      </c>
      <c r="G48" s="409"/>
      <c r="H48" s="259"/>
      <c r="I48" s="395" t="s">
        <v>127</v>
      </c>
      <c r="J48" s="396"/>
      <c r="K48" s="397"/>
      <c r="L48" s="275">
        <f>Z47</f>
        <v>0</v>
      </c>
      <c r="M48" s="259"/>
      <c r="N48" s="4"/>
      <c r="O48" s="4"/>
      <c r="P48" s="4"/>
      <c r="Q48" s="4"/>
      <c r="R48" s="4"/>
      <c r="T48" s="252"/>
    </row>
    <row r="49" spans="1:59" x14ac:dyDescent="0.2">
      <c r="A49" s="4"/>
      <c r="B49" s="4"/>
      <c r="C49" s="4"/>
      <c r="D49" s="4"/>
      <c r="E49" s="4"/>
      <c r="F49" s="4"/>
      <c r="G49" s="4"/>
      <c r="H49" s="4"/>
      <c r="I49" s="4"/>
      <c r="J49" s="4"/>
      <c r="K49" s="4"/>
      <c r="L49" s="4"/>
      <c r="M49" s="4"/>
      <c r="N49" s="4"/>
      <c r="O49" s="4"/>
      <c r="P49" s="4"/>
      <c r="Q49" s="4"/>
      <c r="R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row>
    <row r="50" spans="1:59" x14ac:dyDescent="0.2">
      <c r="A50" s="4"/>
      <c r="B50" s="4"/>
      <c r="C50" s="4"/>
      <c r="D50" s="4"/>
      <c r="E50" s="4"/>
      <c r="F50" s="4"/>
      <c r="G50" s="4"/>
      <c r="H50" s="4"/>
      <c r="I50" s="4"/>
      <c r="J50" s="4"/>
      <c r="K50" s="4"/>
      <c r="L50" s="4"/>
      <c r="M50" s="4"/>
      <c r="N50" s="4"/>
      <c r="O50" s="4"/>
      <c r="P50" s="4"/>
      <c r="Q50" s="4"/>
      <c r="R50" s="4"/>
      <c r="AF50" s="241"/>
      <c r="AG50" s="242">
        <f>IF(AND(AC51=AC53,$AC$36=$AC51),1,0)</f>
        <v>0</v>
      </c>
      <c r="AH50" s="242">
        <f>IF(AND(AC51=AC53,$AC$53=$AC51),2,0)</f>
        <v>0</v>
      </c>
      <c r="AI50" s="242">
        <f>IF(AND(AC51=AC53,$AC$70=$AC51),3,0)</f>
        <v>0</v>
      </c>
      <c r="AJ50" s="242">
        <f>IF(AND(AC51=AC53,$AC$87=$AC51),4,0)</f>
        <v>0</v>
      </c>
      <c r="AK50" s="242">
        <f>IF(AND(AC51=AC53,$AC$104=$AC51),5,0)</f>
        <v>0</v>
      </c>
      <c r="AL50" s="242" t="s">
        <v>52</v>
      </c>
      <c r="AM50" s="242" t="s">
        <v>53</v>
      </c>
    </row>
    <row r="51" spans="1:59" ht="19" x14ac:dyDescent="0.25">
      <c r="A51" s="4"/>
      <c r="B51" s="237" t="s">
        <v>128</v>
      </c>
      <c r="C51" s="4"/>
      <c r="D51" s="244" t="s">
        <v>55</v>
      </c>
      <c r="E51" s="416"/>
      <c r="F51" s="417"/>
      <c r="G51" s="4"/>
      <c r="H51" s="4"/>
      <c r="I51" s="4"/>
      <c r="J51" s="4"/>
      <c r="K51" s="4"/>
      <c r="L51" s="4"/>
      <c r="M51" s="4"/>
      <c r="N51" s="4"/>
      <c r="O51" s="4"/>
      <c r="P51" s="4"/>
      <c r="Q51" s="4"/>
      <c r="R51" s="4"/>
      <c r="AC51">
        <f>VALUE(RIGHT(B51,1))</f>
        <v>2</v>
      </c>
      <c r="AF51" s="245" t="s">
        <v>56</v>
      </c>
      <c r="AG51">
        <f>IF(AG50&gt;0,$BB$45,0)</f>
        <v>0</v>
      </c>
      <c r="AH51">
        <f>IF(AH50&gt;0,$BB$62,0)</f>
        <v>0</v>
      </c>
      <c r="AI51">
        <f>IF(AI50&gt;0,$BB$79,0)</f>
        <v>0</v>
      </c>
      <c r="AJ51">
        <f>IF(AJ50&gt;0,$BB$96,0)</f>
        <v>0</v>
      </c>
      <c r="AK51">
        <f>IF(AK50&gt;0,$BB$113,0)</f>
        <v>0</v>
      </c>
      <c r="AL51">
        <f>SUM(AG51:AK51)</f>
        <v>0</v>
      </c>
      <c r="AM51" s="246">
        <f>ROUND(AL51/10,0)*10</f>
        <v>0</v>
      </c>
    </row>
    <row r="52" spans="1:59" x14ac:dyDescent="0.2">
      <c r="A52" s="4"/>
      <c r="B52" s="4"/>
      <c r="C52" s="4"/>
      <c r="D52" s="244" t="s">
        <v>129</v>
      </c>
      <c r="E52" s="418" t="s">
        <v>130</v>
      </c>
      <c r="F52" s="419"/>
      <c r="G52" s="4"/>
      <c r="H52" s="4"/>
      <c r="I52" s="4"/>
      <c r="J52" s="4"/>
      <c r="K52" s="4"/>
      <c r="L52" s="4"/>
      <c r="M52" s="4"/>
      <c r="N52" s="4"/>
      <c r="O52" s="4"/>
      <c r="P52" s="4"/>
      <c r="Q52" s="4"/>
      <c r="R52" s="4"/>
      <c r="AF52" s="245" t="s">
        <v>59</v>
      </c>
      <c r="AG52">
        <f>IF(AG51&gt;0,$BC$45,0)</f>
        <v>0</v>
      </c>
      <c r="AH52">
        <f>IF(AH51&gt;0,$BC$62,0)</f>
        <v>0</v>
      </c>
      <c r="AI52">
        <f>IF(AI51&gt;0,$BC$79,0)</f>
        <v>0</v>
      </c>
      <c r="AJ52">
        <f>IF(AJ51&gt;0,$BC$96,0)</f>
        <v>0</v>
      </c>
      <c r="AK52">
        <f>IF(AK51&gt;0,$BC$113,0)</f>
        <v>0</v>
      </c>
      <c r="AL52">
        <f t="shared" ref="AL52:AL54" si="14">SUM(AG52:AK52)</f>
        <v>0</v>
      </c>
      <c r="AM52" s="246">
        <f>ROUNDUP(AL52/10,0)*10</f>
        <v>0</v>
      </c>
    </row>
    <row r="53" spans="1:59" x14ac:dyDescent="0.2">
      <c r="A53" s="4"/>
      <c r="B53" s="4"/>
      <c r="C53" s="4"/>
      <c r="D53" s="244" t="s">
        <v>60</v>
      </c>
      <c r="E53" s="420" t="s">
        <v>61</v>
      </c>
      <c r="F53" s="420"/>
      <c r="G53" s="277" t="str">
        <f ca="1">IF(AE53=1,"       Das angegebene Gebäude hat keinen Internetanschluss!","")</f>
        <v/>
      </c>
      <c r="H53" s="277"/>
      <c r="I53" s="4"/>
      <c r="J53" s="4"/>
      <c r="K53" s="4"/>
      <c r="L53" s="4"/>
      <c r="M53" s="4"/>
      <c r="N53" s="4"/>
      <c r="O53" s="4"/>
      <c r="P53" s="4"/>
      <c r="Q53" s="4"/>
      <c r="R53" s="4"/>
      <c r="AC53">
        <f>IF(OR(E52="non",E52="nein"),VALUE(RIGHT(E53,1)),VALUE(RIGHT(B51,1)))</f>
        <v>1</v>
      </c>
      <c r="AD53" t="str">
        <f>ADDRESS((AC53-1)*pas_vertical+ROW(E$36),COLUMN(AC53))</f>
        <v>$AC$36</v>
      </c>
      <c r="AE53" cm="1">
        <f t="array" aca="1" ref="AE53" ca="1">IF(AC53&lt;&gt;INDIRECT(ADDRESS((AC53-1)*17+ROW(E$36),COLUMN(AC53))),1,0)</f>
        <v>0</v>
      </c>
      <c r="AF53" s="245" t="s">
        <v>62</v>
      </c>
      <c r="AG53">
        <f>IF(AG52&gt;0,$BD$45,0)</f>
        <v>0</v>
      </c>
      <c r="AH53">
        <f>IF(AH52&gt;0,$BD$62,0)</f>
        <v>0</v>
      </c>
      <c r="AI53">
        <f>IF(AI52&gt;0,$BD$79,0)</f>
        <v>0</v>
      </c>
      <c r="AJ53">
        <f>IF(AJ52&gt;0,$BD$96,0)</f>
        <v>0</v>
      </c>
      <c r="AK53">
        <f>IF(AK52&gt;0,$BD$113,0)</f>
        <v>0</v>
      </c>
      <c r="AL53">
        <f t="shared" si="14"/>
        <v>0</v>
      </c>
      <c r="AM53" s="246">
        <f t="shared" ref="AM53" si="15">ROUND(AL53/10,0)*10</f>
        <v>0</v>
      </c>
    </row>
    <row r="54" spans="1:59" x14ac:dyDescent="0.2">
      <c r="A54" s="4"/>
      <c r="B54" s="4"/>
      <c r="C54" s="4"/>
      <c r="D54" s="103"/>
      <c r="E54" s="4"/>
      <c r="F54" s="4"/>
      <c r="G54" s="4"/>
      <c r="H54" s="4"/>
      <c r="I54" s="4"/>
      <c r="J54" s="4"/>
      <c r="K54" s="4"/>
      <c r="L54" s="4"/>
      <c r="M54" s="4"/>
      <c r="N54" s="4"/>
      <c r="O54" s="4"/>
      <c r="P54" s="4"/>
      <c r="Q54" s="4"/>
      <c r="R54" s="4"/>
      <c r="T54" s="17" t="s">
        <v>63</v>
      </c>
      <c r="AF54" s="248" t="s">
        <v>64</v>
      </c>
      <c r="AG54" s="249">
        <f>IF(AG53&gt;0,$BE$45,0)</f>
        <v>0</v>
      </c>
      <c r="AH54" s="249">
        <f>IF(AH53&gt;0,$BE$62,0)</f>
        <v>0</v>
      </c>
      <c r="AI54" s="249">
        <f>IF(AI53&gt;0,$BE$79,0)</f>
        <v>0</v>
      </c>
      <c r="AJ54" s="249">
        <f>IF(AJ53&gt;0,$BE$96,0)</f>
        <v>0</v>
      </c>
      <c r="AK54" s="249">
        <f>IF(AK53&gt;0,$BE$113,0)</f>
        <v>0</v>
      </c>
      <c r="AL54" s="249">
        <f t="shared" si="14"/>
        <v>0</v>
      </c>
      <c r="AM54" s="250">
        <f>ROUNDUP(AL54/10,0)*10</f>
        <v>0</v>
      </c>
    </row>
    <row r="55" spans="1:59" ht="28" customHeight="1" x14ac:dyDescent="0.2">
      <c r="A55" s="4"/>
      <c r="B55" s="238"/>
      <c r="C55" s="387" t="s">
        <v>65</v>
      </c>
      <c r="D55" s="388"/>
      <c r="E55" s="388"/>
      <c r="F55" s="388"/>
      <c r="G55" s="389"/>
      <c r="H55" s="398" t="s">
        <v>66</v>
      </c>
      <c r="I55" s="387" t="s">
        <v>67</v>
      </c>
      <c r="J55" s="389"/>
      <c r="K55" s="387" t="s">
        <v>68</v>
      </c>
      <c r="L55" s="389"/>
      <c r="M55" s="251"/>
      <c r="N55" s="387" t="s">
        <v>69</v>
      </c>
      <c r="O55" s="388"/>
      <c r="P55" s="388"/>
      <c r="Q55" s="389"/>
      <c r="R55" s="4"/>
      <c r="T55" s="252" t="s">
        <v>70</v>
      </c>
      <c r="U55" s="240" t="s">
        <v>71</v>
      </c>
      <c r="Y55" s="240" t="s">
        <v>72</v>
      </c>
      <c r="Z55" s="240"/>
      <c r="AA55" s="240"/>
    </row>
    <row r="56" spans="1:59" ht="64" x14ac:dyDescent="0.2">
      <c r="A56" s="4"/>
      <c r="B56" s="238"/>
      <c r="C56" s="113" t="s">
        <v>20</v>
      </c>
      <c r="D56" s="113" t="s">
        <v>21</v>
      </c>
      <c r="E56" s="113" t="s">
        <v>22</v>
      </c>
      <c r="F56" s="113" t="s">
        <v>23</v>
      </c>
      <c r="G56" s="113" t="s">
        <v>24</v>
      </c>
      <c r="H56" s="399"/>
      <c r="I56" s="113" t="s">
        <v>73</v>
      </c>
      <c r="J56" s="113" t="s">
        <v>74</v>
      </c>
      <c r="K56" s="113" t="s">
        <v>75</v>
      </c>
      <c r="L56" s="113" t="s">
        <v>76</v>
      </c>
      <c r="M56" s="253"/>
      <c r="N56" s="113" t="s">
        <v>35</v>
      </c>
      <c r="O56" s="113" t="s">
        <v>77</v>
      </c>
      <c r="P56" s="113" t="s">
        <v>78</v>
      </c>
      <c r="Q56" s="113" t="s">
        <v>79</v>
      </c>
      <c r="R56" s="4"/>
      <c r="T56" s="252"/>
      <c r="U56" s="254" t="s">
        <v>80</v>
      </c>
      <c r="V56" s="254" t="s">
        <v>81</v>
      </c>
      <c r="W56" s="254" t="s">
        <v>82</v>
      </c>
      <c r="Y56" s="254" t="s">
        <v>83</v>
      </c>
      <c r="Z56" s="254" t="s">
        <v>84</v>
      </c>
      <c r="AA56" s="254" t="s">
        <v>85</v>
      </c>
      <c r="AC56" s="254" t="s">
        <v>86</v>
      </c>
      <c r="AD56" s="254" t="s">
        <v>87</v>
      </c>
      <c r="AE56" s="254" t="s">
        <v>88</v>
      </c>
      <c r="AF56" s="254" t="s">
        <v>89</v>
      </c>
      <c r="AG56" s="254" t="s">
        <v>90</v>
      </c>
      <c r="AH56" s="255" t="s">
        <v>91</v>
      </c>
      <c r="AI56" s="254" t="s">
        <v>92</v>
      </c>
      <c r="AJ56" s="254" t="s">
        <v>93</v>
      </c>
      <c r="AK56" s="254" t="s">
        <v>94</v>
      </c>
      <c r="AL56" s="255" t="s">
        <v>95</v>
      </c>
      <c r="AM56" s="254" t="s">
        <v>96</v>
      </c>
      <c r="AN56" s="254" t="s">
        <v>97</v>
      </c>
      <c r="AO56" s="254" t="s">
        <v>98</v>
      </c>
      <c r="AP56" s="255" t="s">
        <v>99</v>
      </c>
      <c r="AQ56" s="254" t="s">
        <v>100</v>
      </c>
      <c r="AR56" s="254" t="s">
        <v>101</v>
      </c>
      <c r="AS56" s="254" t="s">
        <v>102</v>
      </c>
      <c r="AT56" s="255" t="s">
        <v>103</v>
      </c>
      <c r="AU56" s="254" t="s">
        <v>104</v>
      </c>
      <c r="AV56" s="254" t="s">
        <v>105</v>
      </c>
      <c r="AW56" s="254" t="s">
        <v>106</v>
      </c>
      <c r="AX56" s="255" t="s">
        <v>107</v>
      </c>
      <c r="AY56" s="254" t="s">
        <v>108</v>
      </c>
      <c r="AZ56" s="254" t="s">
        <v>109</v>
      </c>
      <c r="BA56" s="254" t="s">
        <v>110</v>
      </c>
      <c r="BB56" s="256" t="s">
        <v>111</v>
      </c>
      <c r="BC56" s="256" t="s">
        <v>112</v>
      </c>
      <c r="BD56" s="256" t="s">
        <v>113</v>
      </c>
      <c r="BE56" s="256" t="s">
        <v>114</v>
      </c>
      <c r="BF56" s="254" t="s">
        <v>115</v>
      </c>
      <c r="BG56" s="254" t="s">
        <v>116</v>
      </c>
    </row>
    <row r="57" spans="1:59" ht="16" x14ac:dyDescent="0.2">
      <c r="A57" s="4"/>
      <c r="B57" s="257" t="s">
        <v>117</v>
      </c>
      <c r="C57" s="88"/>
      <c r="D57" s="89"/>
      <c r="E57" s="89"/>
      <c r="F57" s="89"/>
      <c r="G57" s="89"/>
      <c r="H57" s="55"/>
      <c r="I57" s="56"/>
      <c r="J57" s="56"/>
      <c r="K57" s="258">
        <f>SUM(C57:G57)+H57+(J57&gt;0)</f>
        <v>0</v>
      </c>
      <c r="L57" s="258">
        <f>3*(SUM(C57:G57)+H57)+I57+1*(J57&gt;0)</f>
        <v>0</v>
      </c>
      <c r="M57" s="259"/>
      <c r="N57" s="347"/>
      <c r="O57" s="348"/>
      <c r="P57" s="349"/>
      <c r="Q57" s="260">
        <f>O57-P57</f>
        <v>0</v>
      </c>
      <c r="R57" s="4"/>
      <c r="T57" s="252">
        <f ca="1">C57*Dotation_Déterm_1_2H+D57*Dotation_Déterm_3_4H+ROUNDUP(E57*ElevePClasse_5_6H/Dotation_Déterm_5_6H,0)+ROUNDUP(F57*ElevePClasse_7_8H/Dotation_Déterm_7_8H,0)+ROUNDUP(G57*ElevePClasse_9_11H/Dotation_Déterm_9_11H,0)</f>
        <v>0</v>
      </c>
      <c r="U57">
        <f>IF(ISTEXT(N57),VLOOKUP(N57,Syst_Rang,2,0),0)</f>
        <v>0</v>
      </c>
      <c r="V57">
        <f>U57*O57</f>
        <v>0</v>
      </c>
      <c r="W57">
        <f t="shared" ref="W57" si="16">U57*Q57</f>
        <v>0</v>
      </c>
      <c r="Y57">
        <f>L57+AA58</f>
        <v>0</v>
      </c>
      <c r="Z57">
        <f>IF(Y57&gt;22,ROUNDUP(Y57/22,0),0)</f>
        <v>0</v>
      </c>
      <c r="AA57">
        <f t="shared" ref="AA57:AA60" si="17">IF(Z57=0,Y57,0)</f>
        <v>0</v>
      </c>
      <c r="AC57">
        <f>C57*Dotation_Déterm_1_2H+D57*Dotation_Déterm_3_4H+ROUNDUP(E57*Max_ElevePClasse_5_6H/Dotation_Déterm_5_6H,0)+ROUNDUP(F57*Max_ElevePClasse_7_8H/Dotation_Déterm_7_8H,0)</f>
        <v>0</v>
      </c>
      <c r="AD57">
        <f>ROUNDUP(G57*Moy_ElevePClasse_9_11H/Dotation_Déterm_9_12H,0)</f>
        <v>0</v>
      </c>
      <c r="AE57" s="261">
        <f>SUM(C57:G57)</f>
        <v>0</v>
      </c>
      <c r="AF57" s="261">
        <f>I57</f>
        <v>0</v>
      </c>
      <c r="AG57" s="261">
        <f>$J57</f>
        <v>0</v>
      </c>
      <c r="AH57" s="245"/>
      <c r="AL57" s="245"/>
      <c r="AP57" s="245"/>
      <c r="AT57" s="245"/>
      <c r="AX57" s="245"/>
      <c r="BB57" s="245"/>
    </row>
    <row r="58" spans="1:59" ht="16" x14ac:dyDescent="0.2">
      <c r="A58" s="4"/>
      <c r="B58" s="262" t="s">
        <v>118</v>
      </c>
      <c r="C58" s="88"/>
      <c r="D58" s="89"/>
      <c r="E58" s="89"/>
      <c r="F58" s="89"/>
      <c r="G58" s="89"/>
      <c r="H58" s="55"/>
      <c r="I58" s="56"/>
      <c r="J58" s="56"/>
      <c r="K58" s="258">
        <f>SUM(C58:G58)+H58+(J58&gt;0)</f>
        <v>0</v>
      </c>
      <c r="L58" s="258">
        <f>3*(SUM(C58:G58)+H58)+I58+1*(J58&gt;0)</f>
        <v>0</v>
      </c>
      <c r="M58" s="259"/>
      <c r="N58" s="350"/>
      <c r="O58" s="351"/>
      <c r="P58" s="352"/>
      <c r="Q58" s="258">
        <f t="shared" ref="Q58:Q61" si="18">O58-P58</f>
        <v>0</v>
      </c>
      <c r="R58" s="4"/>
      <c r="T58" s="252">
        <f ca="1">C58*Dotation_Déterm_1_2H+D58*Dotation_Déterm_3_4H+ROUNDUP(E58*ElevePClasse_5_6H/Dotation_Déterm_5_6H,0)+ROUNDUP(F58*ElevePClasse_7_8H/Dotation_Déterm_7_8H,0)+ROUNDUP(G58*ElevePClasse_9_11H/Dotation_Déterm_9_11H,0)</f>
        <v>0</v>
      </c>
      <c r="U58">
        <f>IF(ISTEXT(N58),VLOOKUP(N58,Syst_Rang,2,0),0)</f>
        <v>0</v>
      </c>
      <c r="V58">
        <f t="shared" ref="V58:V61" si="19">U58*O58</f>
        <v>0</v>
      </c>
      <c r="W58">
        <f>U58*Q58</f>
        <v>0</v>
      </c>
      <c r="Y58">
        <f>L58+AA59</f>
        <v>0</v>
      </c>
      <c r="Z58">
        <f>IF(Y58+L57&gt;22,ROUNDUP(Y58/22,0),0)</f>
        <v>0</v>
      </c>
      <c r="AA58">
        <f t="shared" si="17"/>
        <v>0</v>
      </c>
      <c r="AC58">
        <f>C58*Dotation_Déterm_1_2H+D58*Dotation_Déterm_3_4H+ROUNDUP(E58*Max_ElevePClasse_5_6H/Dotation_Déterm_5_6H,0)+ROUNDUP(F58*Max_ElevePClasse_7_8H/Dotation_Déterm_7_8H,0)</f>
        <v>0</v>
      </c>
      <c r="AD58">
        <f>ROUNDUP(G58*Moy_ElevePClasse_9_11H/Dotation_Déterm_9_12H,0)</f>
        <v>0</v>
      </c>
      <c r="AE58" s="261">
        <f>SUM(C58:G58)</f>
        <v>0</v>
      </c>
      <c r="AF58" s="261">
        <f>I58</f>
        <v>0</v>
      </c>
      <c r="AG58" s="261">
        <f t="shared" ref="AG58:AG61" si="20">$J58</f>
        <v>0</v>
      </c>
      <c r="AH58" s="245"/>
      <c r="AL58" s="245"/>
      <c r="AP58" s="245"/>
      <c r="AT58" s="245"/>
      <c r="AX58" s="245"/>
      <c r="BB58" s="245"/>
    </row>
    <row r="59" spans="1:59" ht="16" x14ac:dyDescent="0.2">
      <c r="A59" s="4"/>
      <c r="B59" s="262" t="s">
        <v>119</v>
      </c>
      <c r="C59" s="88"/>
      <c r="D59" s="89"/>
      <c r="E59" s="89"/>
      <c r="F59" s="89"/>
      <c r="G59" s="89"/>
      <c r="H59" s="55"/>
      <c r="I59" s="56"/>
      <c r="J59" s="56"/>
      <c r="K59" s="258">
        <f>SUM(C59:G59)+H59+(J59&gt;0)</f>
        <v>0</v>
      </c>
      <c r="L59" s="258">
        <f>3*(SUM(C59:G59)+H59)+I59+1*(J59&gt;0)</f>
        <v>0</v>
      </c>
      <c r="M59" s="259"/>
      <c r="N59" s="350"/>
      <c r="O59" s="351"/>
      <c r="P59" s="352"/>
      <c r="Q59" s="258">
        <f t="shared" si="18"/>
        <v>0</v>
      </c>
      <c r="R59" s="4"/>
      <c r="T59" s="252">
        <f ca="1">C59*Dotation_Déterm_1_2H+D59*Dotation_Déterm_3_4H+ROUNDUP(E59*ElevePClasse_5_6H/Dotation_Déterm_5_6H,0)+ROUNDUP(F59*ElevePClasse_7_8H/Dotation_Déterm_7_8H,0)+ROUNDUP(G59*ElevePClasse_9_11H/Dotation_Déterm_9_11H,0)</f>
        <v>0</v>
      </c>
      <c r="U59">
        <f>IF(ISTEXT(N59),VLOOKUP(N59,Syst_Rang,2,0),0)</f>
        <v>0</v>
      </c>
      <c r="V59">
        <f t="shared" si="19"/>
        <v>0</v>
      </c>
      <c r="W59">
        <f t="shared" ref="W59:W61" si="21">U59*Q59</f>
        <v>0</v>
      </c>
      <c r="Y59">
        <f>L59+AA60</f>
        <v>0</v>
      </c>
      <c r="Z59">
        <f>IF(Y59+L58&gt;22,ROUNDUP(Y59/22,0),0)</f>
        <v>0</v>
      </c>
      <c r="AA59">
        <f t="shared" si="17"/>
        <v>0</v>
      </c>
      <c r="AC59">
        <f>C59*Dotation_Déterm_1_2H+D59*Dotation_Déterm_3_4H+ROUNDUP(E59*Max_ElevePClasse_5_6H/Dotation_Déterm_5_6H,0)+ROUNDUP(F59*Max_ElevePClasse_7_8H/Dotation_Déterm_7_8H,0)</f>
        <v>0</v>
      </c>
      <c r="AD59">
        <f>ROUNDUP(G59*Moy_ElevePClasse_9_11H/Dotation_Déterm_9_12H,0)</f>
        <v>0</v>
      </c>
      <c r="AE59" s="261">
        <f>SUM(C59:G59)</f>
        <v>0</v>
      </c>
      <c r="AF59" s="261">
        <f>I59</f>
        <v>0</v>
      </c>
      <c r="AG59" s="261">
        <f t="shared" si="20"/>
        <v>0</v>
      </c>
      <c r="AH59" s="245"/>
      <c r="AL59" s="245"/>
      <c r="AP59" s="245"/>
      <c r="AT59" s="245"/>
      <c r="AX59" s="245"/>
      <c r="BB59" s="245"/>
    </row>
    <row r="60" spans="1:59" ht="16" x14ac:dyDescent="0.2">
      <c r="A60" s="4"/>
      <c r="B60" s="262" t="s">
        <v>120</v>
      </c>
      <c r="C60" s="88"/>
      <c r="D60" s="89"/>
      <c r="E60" s="89"/>
      <c r="F60" s="89"/>
      <c r="G60" s="89"/>
      <c r="H60" s="55"/>
      <c r="I60" s="56"/>
      <c r="J60" s="56"/>
      <c r="K60" s="258">
        <f>SUM(C60:G60)+H60+(J60&gt;0)</f>
        <v>0</v>
      </c>
      <c r="L60" s="258">
        <f>3*(SUM(C60:G60)+H60)+I60+1*(J60&gt;0)</f>
        <v>0</v>
      </c>
      <c r="M60" s="259"/>
      <c r="N60" s="350"/>
      <c r="O60" s="351"/>
      <c r="P60" s="352"/>
      <c r="Q60" s="258">
        <f t="shared" si="18"/>
        <v>0</v>
      </c>
      <c r="R60" s="4"/>
      <c r="T60" s="252">
        <f ca="1">C60*Dotation_Déterm_1_2H+D60*Dotation_Déterm_3_4H+ROUNDUP(E60*ElevePClasse_5_6H/Dotation_Déterm_5_6H,0)+ROUNDUP(F60*ElevePClasse_7_8H/Dotation_Déterm_7_8H,0)+ROUNDUP(G60*ElevePClasse_9_11H/Dotation_Déterm_9_11H,0)</f>
        <v>0</v>
      </c>
      <c r="U60">
        <f>IF(ISTEXT(N60),VLOOKUP(N60,Syst_Rang,2,0),0)</f>
        <v>0</v>
      </c>
      <c r="V60">
        <f t="shared" si="19"/>
        <v>0</v>
      </c>
      <c r="W60">
        <f t="shared" si="21"/>
        <v>0</v>
      </c>
      <c r="Y60">
        <f>L60+AA61</f>
        <v>0</v>
      </c>
      <c r="Z60">
        <f>IF(Y60+L59&gt;22,ROUNDUP(Y60/22,0),0)</f>
        <v>0</v>
      </c>
      <c r="AA60">
        <f t="shared" si="17"/>
        <v>0</v>
      </c>
      <c r="AC60">
        <f>C60*Dotation_Déterm_1_2H+D60*Dotation_Déterm_3_4H+ROUNDUP(E60*Max_ElevePClasse_5_6H/Dotation_Déterm_5_6H,0)+ROUNDUP(F60*Max_ElevePClasse_7_8H/Dotation_Déterm_7_8H,0)</f>
        <v>0</v>
      </c>
      <c r="AD60">
        <f>ROUNDUP(G60*Moy_ElevePClasse_9_11H/Dotation_Déterm_9_12H,0)</f>
        <v>0</v>
      </c>
      <c r="AE60" s="261">
        <f>SUM(C60:G60)</f>
        <v>0</v>
      </c>
      <c r="AF60" s="261">
        <f>I60</f>
        <v>0</v>
      </c>
      <c r="AG60" s="261">
        <f t="shared" si="20"/>
        <v>0</v>
      </c>
      <c r="AH60" s="245"/>
      <c r="AL60" s="245"/>
      <c r="AP60" s="245"/>
      <c r="AT60" s="245"/>
      <c r="AX60" s="245"/>
      <c r="BB60" s="245"/>
    </row>
    <row r="61" spans="1:59" ht="16" x14ac:dyDescent="0.2">
      <c r="A61" s="4"/>
      <c r="B61" s="263" t="s">
        <v>121</v>
      </c>
      <c r="C61" s="90"/>
      <c r="D61" s="91"/>
      <c r="E61" s="91"/>
      <c r="F61" s="91"/>
      <c r="G61" s="91"/>
      <c r="H61" s="57"/>
      <c r="I61" s="58"/>
      <c r="J61" s="58"/>
      <c r="K61" s="258">
        <f>SUM(C61:G61)+H61+(J61&gt;0)</f>
        <v>0</v>
      </c>
      <c r="L61" s="258">
        <f>3*(SUM(C61:G61)+H61)+I61+1*(J61&gt;0)</f>
        <v>0</v>
      </c>
      <c r="M61" s="259"/>
      <c r="N61" s="353"/>
      <c r="O61" s="354"/>
      <c r="P61" s="355"/>
      <c r="Q61" s="264">
        <f t="shared" si="18"/>
        <v>0</v>
      </c>
      <c r="R61" s="4"/>
      <c r="T61" s="252">
        <f ca="1">C61*Dotation_Déterm_1_2H+D61*Dotation_Déterm_3_4H+ROUNDUP(E61*ElevePClasse_5_6H/Dotation_Déterm_5_6H,0)+ROUNDUP(F61*ElevePClasse_7_8H/Dotation_Déterm_7_8H,0)+ROUNDUP(G61*ElevePClasse_9_11H/Dotation_Déterm_9_11H,0)</f>
        <v>0</v>
      </c>
      <c r="U61">
        <f>IF(ISTEXT(N61),VLOOKUP(N61,Syst_Rang,2,0),0)</f>
        <v>0</v>
      </c>
      <c r="V61">
        <f t="shared" si="19"/>
        <v>0</v>
      </c>
      <c r="W61">
        <f t="shared" si="21"/>
        <v>0</v>
      </c>
      <c r="Y61">
        <f>L61</f>
        <v>0</v>
      </c>
      <c r="Z61">
        <f>IF(Y61+L60&gt;22,ROUNDUP(Y61/22,0),0)</f>
        <v>0</v>
      </c>
      <c r="AA61">
        <f>IF(Z61=0,Y61,0)</f>
        <v>0</v>
      </c>
      <c r="AC61">
        <f>C61*Dotation_Déterm_1_2H+D61*Dotation_Déterm_3_4H+ROUNDUP(E61*Max_ElevePClasse_5_6H/Dotation_Déterm_5_6H,0)+ROUNDUP(F61*Max_ElevePClasse_7_8H/Dotation_Déterm_7_8H,0)</f>
        <v>0</v>
      </c>
      <c r="AD61">
        <f>ROUNDUP(G61*Moy_ElevePClasse_9_11H/Dotation_Déterm_9_12H,0)</f>
        <v>0</v>
      </c>
      <c r="AE61" s="261">
        <f>SUM(C61:G61)</f>
        <v>0</v>
      </c>
      <c r="AF61" s="261">
        <f>I61</f>
        <v>0</v>
      </c>
      <c r="AG61" s="261">
        <f t="shared" si="20"/>
        <v>0</v>
      </c>
      <c r="AH61" s="245"/>
      <c r="AL61" s="245"/>
      <c r="AP61" s="245"/>
      <c r="AT61" s="245"/>
      <c r="AX61" s="245"/>
      <c r="BB61" s="245"/>
    </row>
    <row r="62" spans="1:59" ht="16" customHeight="1" thickBot="1" x14ac:dyDescent="0.25">
      <c r="A62" s="4"/>
      <c r="B62" s="265"/>
      <c r="C62" s="266"/>
      <c r="D62" s="266"/>
      <c r="E62" s="266"/>
      <c r="F62" s="266"/>
      <c r="G62" s="266"/>
      <c r="H62" s="266"/>
      <c r="I62" s="266"/>
      <c r="J62" s="267"/>
      <c r="K62" s="239">
        <f>SUM(K57:K61)</f>
        <v>0</v>
      </c>
      <c r="L62" s="239">
        <f>SUM(L57:L61)</f>
        <v>0</v>
      </c>
      <c r="M62" s="268"/>
      <c r="N62" s="259"/>
      <c r="O62" s="303">
        <f>SUM(O57:O61)</f>
        <v>0</v>
      </c>
      <c r="P62" s="303">
        <f>SUM(P57:P61)</f>
        <v>0</v>
      </c>
      <c r="Q62" s="303">
        <f>SUM(Q57:Q61)</f>
        <v>0</v>
      </c>
      <c r="R62" s="4"/>
      <c r="T62" s="252">
        <f>SUM(C62:G62)</f>
        <v>0</v>
      </c>
      <c r="U62" s="269"/>
      <c r="V62" s="269">
        <f t="shared" ref="V62:W62" si="22">SUM(V57:V61)</f>
        <v>0</v>
      </c>
      <c r="W62" s="269">
        <f t="shared" si="22"/>
        <v>0</v>
      </c>
      <c r="Y62">
        <f>AA57</f>
        <v>0</v>
      </c>
      <c r="Z62">
        <f>IF(L62&gt;0,MAX(1,ROUNDUP(Y62/22,0)),0)</f>
        <v>0</v>
      </c>
      <c r="AC62" s="269">
        <f t="shared" ref="AC62" si="23">SUM(AC57:AC61)</f>
        <v>0</v>
      </c>
      <c r="AD62" s="269">
        <f t="shared" ref="AD62" si="24">SUM(AD57:AD61)</f>
        <v>0</v>
      </c>
      <c r="AE62" s="269">
        <f>SUM(AE57:AE61)</f>
        <v>0</v>
      </c>
      <c r="AF62" s="269">
        <f>SUM(AF57:AF61)</f>
        <v>0</v>
      </c>
      <c r="AG62" s="269">
        <f>SUM(AG57:AG61)</f>
        <v>0</v>
      </c>
      <c r="AH62" s="270">
        <f>$AC62*INDEX(BW_ELE_1_8H,1)</f>
        <v>0</v>
      </c>
      <c r="AI62" s="269">
        <f>$AC62*INDEX(BW_ELE_1_8H,2)</f>
        <v>0</v>
      </c>
      <c r="AJ62" s="269">
        <f>$AC62*INDEX(BW_ELE_1_8H,3)</f>
        <v>0</v>
      </c>
      <c r="AK62" s="269">
        <f>$AC62*INDEX(BW_ELE_1_8H,4)</f>
        <v>0</v>
      </c>
      <c r="AL62" s="270">
        <f>$AD62*INDEX(BW_ELE_9_11H,1)</f>
        <v>0</v>
      </c>
      <c r="AM62" s="269">
        <f>$AD62*INDEX(BW_ELE_9_11H,2)</f>
        <v>0</v>
      </c>
      <c r="AN62" s="269">
        <f>$AD62*INDEX(BW_ELE_9_11H,3)</f>
        <v>0</v>
      </c>
      <c r="AO62" s="269">
        <f>$AD62*INDEX(BW_ELE_9_11H,4)</f>
        <v>0</v>
      </c>
      <c r="AP62" s="270">
        <f>$AE62*INDEX(BW_ENSEIGN,1)</f>
        <v>0</v>
      </c>
      <c r="AQ62" s="270">
        <f>$AE62*INDEX(BW_ENSEIGN,2)</f>
        <v>0</v>
      </c>
      <c r="AR62" s="270">
        <f>$AE62*INDEX(BW_ENSEIGN,3)</f>
        <v>0</v>
      </c>
      <c r="AS62" s="270">
        <f>$AE62*INDEX(BW_ENSEIGN,4)</f>
        <v>0</v>
      </c>
      <c r="AT62" s="270">
        <f>$AF62*INDEX(BW_SALLE_INFO,1)</f>
        <v>0</v>
      </c>
      <c r="AU62" s="269">
        <f>$AF62*INDEX(BW_SALLE_INFO,2)</f>
        <v>0</v>
      </c>
      <c r="AV62" s="269">
        <f>$AF62*INDEX(BW_SALLE_INFO,3)</f>
        <v>0</v>
      </c>
      <c r="AW62" s="269">
        <f>$AF62*INDEX(BW_SALLE_INFO,4)</f>
        <v>0</v>
      </c>
      <c r="AX62" s="270">
        <f>$AG62*INDEX(BW_AUTRES,1)</f>
        <v>0</v>
      </c>
      <c r="AY62" s="269">
        <f>$AG62*INDEX(BW_AUTRES,2)</f>
        <v>0</v>
      </c>
      <c r="AZ62" s="269">
        <f>$AG62*INDEX(BW_AUTRES,3)</f>
        <v>0</v>
      </c>
      <c r="BA62" s="269">
        <f>$AG62*INDEX(BW_AUTRES,4)</f>
        <v>0</v>
      </c>
      <c r="BB62" s="270">
        <f>AH62+AL62+AP62+AT62+AX62</f>
        <v>0</v>
      </c>
      <c r="BC62" s="271">
        <f>AJ62+AN62+AR62+AV62+AZ62</f>
        <v>0</v>
      </c>
      <c r="BD62" s="270">
        <f t="shared" ref="BD62" si="25">AI62+AM62+AQ62+AU62+AY62</f>
        <v>0</v>
      </c>
      <c r="BE62" s="271">
        <f>AK62+AO62+AS62+AW62+BA62</f>
        <v>0</v>
      </c>
      <c r="BF62" s="269">
        <f>IF(SUM($AC62:$AG62)&gt;0,BB62/SUM($AC62:$AG62),0)</f>
        <v>0</v>
      </c>
      <c r="BG62" s="269">
        <f>IF(SUM($AC62:$AG62)&gt;0,BD62/SUM($AC62:$AG62),0)</f>
        <v>0</v>
      </c>
    </row>
    <row r="63" spans="1:59" ht="17" thickBot="1" x14ac:dyDescent="0.25">
      <c r="A63" s="4"/>
      <c r="B63" s="387" t="s">
        <v>122</v>
      </c>
      <c r="C63" s="388"/>
      <c r="D63" s="388"/>
      <c r="E63" s="388"/>
      <c r="F63" s="388"/>
      <c r="G63" s="389"/>
      <c r="H63" s="259"/>
      <c r="I63" s="113" t="s">
        <v>68</v>
      </c>
      <c r="J63" s="259"/>
      <c r="K63" s="259"/>
      <c r="L63" s="259"/>
      <c r="M63" s="259"/>
      <c r="N63" s="259"/>
      <c r="O63" s="259"/>
      <c r="P63" s="259"/>
      <c r="Q63" s="259"/>
      <c r="R63" s="4"/>
      <c r="T63" s="252"/>
      <c r="Y63" s="269"/>
      <c r="Z63" s="269">
        <f>SUM(Z57:Z62)</f>
        <v>0</v>
      </c>
      <c r="AA63" s="269"/>
    </row>
    <row r="64" spans="1:59" ht="16" customHeight="1" x14ac:dyDescent="0.2">
      <c r="A64" s="4"/>
      <c r="B64" s="400" t="s">
        <v>123</v>
      </c>
      <c r="C64" s="401"/>
      <c r="D64" s="402"/>
      <c r="E64" s="272" t="str">
        <f>IF(AM51&gt;0,AM51,"&gt; Geb. "&amp;AC53)</f>
        <v>&gt; Geb. 1</v>
      </c>
      <c r="F64" s="403" t="s">
        <v>124</v>
      </c>
      <c r="G64" s="404"/>
      <c r="H64" s="259"/>
      <c r="I64" s="392" t="s">
        <v>125</v>
      </c>
      <c r="J64" s="393"/>
      <c r="K64" s="394"/>
      <c r="L64" s="273">
        <f>Z63</f>
        <v>0</v>
      </c>
      <c r="M64" s="259"/>
      <c r="N64" s="4"/>
      <c r="O64" s="4"/>
      <c r="P64" s="4"/>
      <c r="Q64" s="4"/>
      <c r="R64" s="4"/>
      <c r="T64" s="252"/>
      <c r="Z64">
        <f>COUNTIF(Z57:Z62,"&gt;0")</f>
        <v>0</v>
      </c>
    </row>
    <row r="65" spans="1:61" ht="16" customHeight="1" x14ac:dyDescent="0.2">
      <c r="A65" s="4"/>
      <c r="B65" s="405" t="s">
        <v>126</v>
      </c>
      <c r="C65" s="406"/>
      <c r="D65" s="407"/>
      <c r="E65" s="274" t="str">
        <f>IF(AM53&gt;0,AM53,"&gt; Geb. "&amp;AC53)</f>
        <v>&gt; Geb. 1</v>
      </c>
      <c r="F65" s="408" t="str">
        <f>IF(AG51&gt;0,"1 ","") &amp; IF(AH51&gt;0,"2 ","") &amp; IF(AI51&gt;0,"3 ","") &amp; IF(AJ51&gt;0,"4 ","") &amp; IF(AK51&gt;0,"5","")</f>
        <v/>
      </c>
      <c r="G65" s="409"/>
      <c r="H65" s="259"/>
      <c r="I65" s="395" t="s">
        <v>127</v>
      </c>
      <c r="J65" s="396"/>
      <c r="K65" s="397"/>
      <c r="L65" s="275">
        <f>Z64</f>
        <v>0</v>
      </c>
      <c r="M65" s="259"/>
      <c r="N65" s="4"/>
      <c r="O65" s="4"/>
      <c r="P65" s="4"/>
      <c r="Q65" s="4"/>
      <c r="R65" s="4"/>
      <c r="T65" s="252"/>
      <c r="AL65" s="156"/>
      <c r="AN65" s="156"/>
    </row>
    <row r="66" spans="1:61" x14ac:dyDescent="0.2">
      <c r="A66" s="4"/>
      <c r="B66" s="4"/>
      <c r="C66" s="4"/>
      <c r="D66" s="4"/>
      <c r="E66" s="4"/>
      <c r="F66" s="4"/>
      <c r="G66" s="4"/>
      <c r="H66" s="4"/>
      <c r="I66" s="4"/>
      <c r="J66" s="4"/>
      <c r="K66" s="4"/>
      <c r="L66" s="4"/>
      <c r="M66" s="4"/>
      <c r="N66" s="4"/>
      <c r="O66" s="4"/>
      <c r="P66" s="4"/>
      <c r="Q66" s="4"/>
      <c r="R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300"/>
      <c r="BI66" s="300"/>
    </row>
    <row r="67" spans="1:61" x14ac:dyDescent="0.2">
      <c r="A67" s="4"/>
      <c r="B67" s="4"/>
      <c r="C67" s="4"/>
      <c r="D67" s="4"/>
      <c r="E67" s="4"/>
      <c r="F67" s="4"/>
      <c r="G67" s="4"/>
      <c r="H67" s="4"/>
      <c r="I67" s="4"/>
      <c r="J67" s="4"/>
      <c r="K67" s="4"/>
      <c r="L67" s="4"/>
      <c r="M67" s="4"/>
      <c r="N67" s="4"/>
      <c r="O67" s="4"/>
      <c r="P67" s="4"/>
      <c r="Q67" s="4"/>
      <c r="R67" s="4"/>
      <c r="AF67" s="241"/>
      <c r="AG67" s="242">
        <f>IF(AND(AC68=AC70,$AC$36=$AC68),1,0)</f>
        <v>0</v>
      </c>
      <c r="AH67" s="242">
        <f>IF(AND(AC68=AC70,$AC$53=$AC68),2,0)</f>
        <v>0</v>
      </c>
      <c r="AI67" s="242">
        <f>IF(AND(AC68=AC70,$AC$70=$AC68),3,0)</f>
        <v>0</v>
      </c>
      <c r="AJ67" s="242">
        <f>IF(AND(AC68=AC70,$AC$87=$AC68),4,0)</f>
        <v>0</v>
      </c>
      <c r="AK67" s="242">
        <f>IF(AND(AC68=AC70,$AC$104=$AC68),5,0)</f>
        <v>0</v>
      </c>
      <c r="AL67" s="242" t="s">
        <v>52</v>
      </c>
      <c r="AM67" s="243" t="s">
        <v>53</v>
      </c>
    </row>
    <row r="68" spans="1:61" ht="19" x14ac:dyDescent="0.25">
      <c r="A68" s="4"/>
      <c r="B68" s="237" t="s">
        <v>131</v>
      </c>
      <c r="C68" s="4"/>
      <c r="D68" s="244" t="s">
        <v>55</v>
      </c>
      <c r="E68" s="425"/>
      <c r="F68" s="425"/>
      <c r="G68" s="4"/>
      <c r="H68" s="4"/>
      <c r="I68" s="4"/>
      <c r="J68" s="4"/>
      <c r="K68" s="4"/>
      <c r="L68" s="4"/>
      <c r="M68" s="4"/>
      <c r="N68" s="4"/>
      <c r="O68" s="4"/>
      <c r="P68" s="4"/>
      <c r="Q68" s="4"/>
      <c r="R68" s="4"/>
      <c r="AC68">
        <f>VALUE(RIGHT(B68,1))</f>
        <v>3</v>
      </c>
      <c r="AF68" s="245" t="s">
        <v>56</v>
      </c>
      <c r="AG68">
        <f>IF(AG67&gt;0,$BB$45,0)</f>
        <v>0</v>
      </c>
      <c r="AH68">
        <f>IF(AH67&gt;0,$BB$62,0)</f>
        <v>0</v>
      </c>
      <c r="AI68">
        <f>IF(AI67&gt;0,$BB$79,0)</f>
        <v>0</v>
      </c>
      <c r="AJ68">
        <f>IF(AJ67&gt;0,$BB$96,0)</f>
        <v>0</v>
      </c>
      <c r="AK68">
        <f>IF(AK67&gt;0,$BB$113,0)</f>
        <v>0</v>
      </c>
      <c r="AL68">
        <f>SUM(AG68:AK68)</f>
        <v>0</v>
      </c>
      <c r="AM68" s="246">
        <f>ROUND(AL68/10,0)*10</f>
        <v>0</v>
      </c>
    </row>
    <row r="69" spans="1:61" x14ac:dyDescent="0.2">
      <c r="A69" s="4"/>
      <c r="B69" s="4"/>
      <c r="C69" s="4"/>
      <c r="D69" s="244" t="s">
        <v>129</v>
      </c>
      <c r="E69" s="418" t="s">
        <v>130</v>
      </c>
      <c r="F69" s="419"/>
      <c r="G69" s="4"/>
      <c r="H69" s="4"/>
      <c r="I69" s="4"/>
      <c r="J69" s="4"/>
      <c r="K69" s="4"/>
      <c r="L69" s="4"/>
      <c r="M69" s="4"/>
      <c r="N69" s="4"/>
      <c r="O69" s="4"/>
      <c r="P69" s="4"/>
      <c r="Q69" s="4"/>
      <c r="R69" s="4"/>
      <c r="AF69" s="245" t="s">
        <v>59</v>
      </c>
      <c r="AG69">
        <f>IF(AG68&gt;0,$BC$45,0)</f>
        <v>0</v>
      </c>
      <c r="AH69">
        <f>IF(AH68&gt;0,$BC$62,0)</f>
        <v>0</v>
      </c>
      <c r="AI69">
        <f>IF(AI68&gt;0,$BC$79,0)</f>
        <v>0</v>
      </c>
      <c r="AJ69">
        <f>IF(AJ68&gt;0,$BC$96,0)</f>
        <v>0</v>
      </c>
      <c r="AK69">
        <f>IF(AK68&gt;0,$BC$113,0)</f>
        <v>0</v>
      </c>
      <c r="AL69">
        <f t="shared" ref="AL69:AL71" si="26">SUM(AG69:AK69)</f>
        <v>0</v>
      </c>
      <c r="AM69" s="246">
        <f>ROUNDUP(AL69/10,0)*10</f>
        <v>0</v>
      </c>
    </row>
    <row r="70" spans="1:61" x14ac:dyDescent="0.2">
      <c r="A70" s="4"/>
      <c r="B70" s="4"/>
      <c r="C70" s="4"/>
      <c r="D70" s="244" t="s">
        <v>60</v>
      </c>
      <c r="E70" s="420" t="s">
        <v>61</v>
      </c>
      <c r="F70" s="420"/>
      <c r="G70" s="277" t="str">
        <f ca="1">IF(AE70=1,"       Das angegebene Gebäude hat keinen Internetanschluss!","")</f>
        <v/>
      </c>
      <c r="H70" s="277"/>
      <c r="I70" s="4"/>
      <c r="J70" s="4"/>
      <c r="K70" s="4"/>
      <c r="L70" s="4"/>
      <c r="M70" s="4"/>
      <c r="N70" s="4"/>
      <c r="O70" s="4"/>
      <c r="P70" s="4"/>
      <c r="Q70" s="4"/>
      <c r="R70" s="4"/>
      <c r="AC70">
        <f>IF(OR(E69="non",E69="nein"),VALUE(RIGHT(E70,1)),VALUE(RIGHT(B68,1)))</f>
        <v>1</v>
      </c>
      <c r="AD70" t="str">
        <f>ADDRESS((AC70-1)*pas_vertical+ROW(E$36),COLUMN(AC70))</f>
        <v>$AC$36</v>
      </c>
      <c r="AE70" cm="1">
        <f t="array" aca="1" ref="AE70" ca="1">IF(AC70&lt;&gt;INDIRECT(ADDRESS((AC70-1)*17+ROW(E$36),COLUMN(AC70))),1,0)</f>
        <v>0</v>
      </c>
      <c r="AF70" s="245" t="s">
        <v>62</v>
      </c>
      <c r="AG70">
        <f>IF(AG69&gt;0,$BD$45,0)</f>
        <v>0</v>
      </c>
      <c r="AH70">
        <f>IF(AH69&gt;0,$BD$62,0)</f>
        <v>0</v>
      </c>
      <c r="AI70">
        <f>IF(AI69&gt;0,$BD$79,0)</f>
        <v>0</v>
      </c>
      <c r="AJ70">
        <f>IF(AJ69&gt;0,$BD$96,0)</f>
        <v>0</v>
      </c>
      <c r="AK70">
        <f>IF(AK69&gt;0,$BD$113,0)</f>
        <v>0</v>
      </c>
      <c r="AL70">
        <f t="shared" si="26"/>
        <v>0</v>
      </c>
      <c r="AM70" s="246">
        <f t="shared" ref="AM70" si="27">ROUND(AL70/10,0)*10</f>
        <v>0</v>
      </c>
    </row>
    <row r="71" spans="1:61" x14ac:dyDescent="0.2">
      <c r="A71" s="4"/>
      <c r="B71" s="4"/>
      <c r="C71" s="4"/>
      <c r="D71" s="103"/>
      <c r="E71" s="4"/>
      <c r="F71" s="4"/>
      <c r="G71" s="4"/>
      <c r="H71" s="4"/>
      <c r="I71" s="4"/>
      <c r="J71" s="4"/>
      <c r="K71" s="4"/>
      <c r="L71" s="4"/>
      <c r="M71" s="4"/>
      <c r="N71" s="4"/>
      <c r="O71" s="4"/>
      <c r="P71" s="4"/>
      <c r="Q71" s="4"/>
      <c r="R71" s="4"/>
      <c r="T71" s="17" t="s">
        <v>63</v>
      </c>
      <c r="AF71" s="248" t="s">
        <v>64</v>
      </c>
      <c r="AG71" s="249">
        <f>IF(AG70&gt;0,$BE$45,0)</f>
        <v>0</v>
      </c>
      <c r="AH71" s="249">
        <f>IF(AH70&gt;0,$BE$62,0)</f>
        <v>0</v>
      </c>
      <c r="AI71" s="249">
        <f>IF(AI70&gt;0,$BE$79,0)</f>
        <v>0</v>
      </c>
      <c r="AJ71" s="249">
        <f>IF(AJ70&gt;0,$BE$96,0)</f>
        <v>0</v>
      </c>
      <c r="AK71" s="249">
        <f>IF(AK70&gt;0,$BE$113,0)</f>
        <v>0</v>
      </c>
      <c r="AL71" s="249">
        <f t="shared" si="26"/>
        <v>0</v>
      </c>
      <c r="AM71" s="250">
        <f>ROUNDUP(AL71/10,0)*10</f>
        <v>0</v>
      </c>
    </row>
    <row r="72" spans="1:61" ht="28" customHeight="1" x14ac:dyDescent="0.2">
      <c r="A72" s="4"/>
      <c r="B72" s="238"/>
      <c r="C72" s="387" t="s">
        <v>65</v>
      </c>
      <c r="D72" s="388"/>
      <c r="E72" s="388"/>
      <c r="F72" s="388"/>
      <c r="G72" s="389"/>
      <c r="H72" s="398" t="s">
        <v>66</v>
      </c>
      <c r="I72" s="387" t="s">
        <v>67</v>
      </c>
      <c r="J72" s="389"/>
      <c r="K72" s="387" t="s">
        <v>68</v>
      </c>
      <c r="L72" s="389"/>
      <c r="M72" s="251"/>
      <c r="N72" s="387" t="s">
        <v>69</v>
      </c>
      <c r="O72" s="388"/>
      <c r="P72" s="388"/>
      <c r="Q72" s="389"/>
      <c r="R72" s="4"/>
      <c r="T72" s="252" t="s">
        <v>70</v>
      </c>
      <c r="U72" s="240" t="s">
        <v>71</v>
      </c>
      <c r="Y72" s="240" t="s">
        <v>72</v>
      </c>
      <c r="Z72" s="240"/>
      <c r="AA72" s="240"/>
    </row>
    <row r="73" spans="1:61" ht="64" x14ac:dyDescent="0.2">
      <c r="A73" s="4"/>
      <c r="B73" s="238"/>
      <c r="C73" s="113" t="s">
        <v>20</v>
      </c>
      <c r="D73" s="113" t="s">
        <v>21</v>
      </c>
      <c r="E73" s="113" t="s">
        <v>22</v>
      </c>
      <c r="F73" s="113" t="s">
        <v>23</v>
      </c>
      <c r="G73" s="113" t="s">
        <v>24</v>
      </c>
      <c r="H73" s="399"/>
      <c r="I73" s="113" t="s">
        <v>73</v>
      </c>
      <c r="J73" s="113" t="s">
        <v>74</v>
      </c>
      <c r="K73" s="113" t="s">
        <v>75</v>
      </c>
      <c r="L73" s="113" t="s">
        <v>76</v>
      </c>
      <c r="M73" s="253"/>
      <c r="N73" s="113" t="s">
        <v>35</v>
      </c>
      <c r="O73" s="113" t="s">
        <v>77</v>
      </c>
      <c r="P73" s="113" t="s">
        <v>78</v>
      </c>
      <c r="Q73" s="113" t="s">
        <v>79</v>
      </c>
      <c r="R73" s="4"/>
      <c r="T73" s="252"/>
      <c r="U73" s="254" t="s">
        <v>80</v>
      </c>
      <c r="V73" s="254" t="s">
        <v>81</v>
      </c>
      <c r="W73" s="254" t="s">
        <v>82</v>
      </c>
      <c r="Y73" s="254" t="s">
        <v>83</v>
      </c>
      <c r="Z73" s="254" t="s">
        <v>84</v>
      </c>
      <c r="AA73" s="254" t="s">
        <v>85</v>
      </c>
      <c r="AC73" s="254" t="s">
        <v>86</v>
      </c>
      <c r="AD73" s="254" t="s">
        <v>87</v>
      </c>
      <c r="AE73" s="254" t="s">
        <v>88</v>
      </c>
      <c r="AF73" s="254" t="s">
        <v>132</v>
      </c>
      <c r="AG73" s="254" t="s">
        <v>90</v>
      </c>
      <c r="AH73" s="255" t="s">
        <v>91</v>
      </c>
      <c r="AI73" s="254" t="s">
        <v>92</v>
      </c>
      <c r="AJ73" s="254" t="s">
        <v>93</v>
      </c>
      <c r="AK73" s="254" t="s">
        <v>94</v>
      </c>
      <c r="AL73" s="255" t="s">
        <v>95</v>
      </c>
      <c r="AM73" s="254" t="s">
        <v>96</v>
      </c>
      <c r="AN73" s="254" t="s">
        <v>97</v>
      </c>
      <c r="AO73" s="254" t="s">
        <v>98</v>
      </c>
      <c r="AP73" s="255" t="s">
        <v>99</v>
      </c>
      <c r="AQ73" s="254" t="s">
        <v>100</v>
      </c>
      <c r="AR73" s="254" t="s">
        <v>101</v>
      </c>
      <c r="AS73" s="254" t="s">
        <v>102</v>
      </c>
      <c r="AT73" s="255" t="s">
        <v>103</v>
      </c>
      <c r="AU73" s="254" t="s">
        <v>104</v>
      </c>
      <c r="AV73" s="254" t="s">
        <v>105</v>
      </c>
      <c r="AW73" s="254" t="s">
        <v>106</v>
      </c>
      <c r="AX73" s="255" t="s">
        <v>107</v>
      </c>
      <c r="AY73" s="254" t="s">
        <v>108</v>
      </c>
      <c r="AZ73" s="254" t="s">
        <v>109</v>
      </c>
      <c r="BA73" s="254" t="s">
        <v>110</v>
      </c>
      <c r="BB73" s="256" t="s">
        <v>111</v>
      </c>
      <c r="BC73" s="256" t="s">
        <v>112</v>
      </c>
      <c r="BD73" s="256" t="s">
        <v>113</v>
      </c>
      <c r="BE73" s="256" t="s">
        <v>114</v>
      </c>
      <c r="BF73" s="254" t="s">
        <v>115</v>
      </c>
      <c r="BG73" s="254" t="s">
        <v>116</v>
      </c>
    </row>
    <row r="74" spans="1:61" ht="16" x14ac:dyDescent="0.2">
      <c r="A74" s="4"/>
      <c r="B74" s="257" t="s">
        <v>133</v>
      </c>
      <c r="C74" s="88"/>
      <c r="D74" s="89"/>
      <c r="E74" s="89"/>
      <c r="F74" s="89"/>
      <c r="G74" s="89"/>
      <c r="H74" s="55"/>
      <c r="I74" s="56"/>
      <c r="J74" s="56"/>
      <c r="K74" s="258">
        <f>SUM(C74:G74)+H74+(J74&gt;0)</f>
        <v>0</v>
      </c>
      <c r="L74" s="258">
        <f>3*(SUM(C74:G74)+H74)+I74+1*(J74&gt;0)</f>
        <v>0</v>
      </c>
      <c r="M74" s="259"/>
      <c r="N74" s="347"/>
      <c r="O74" s="348"/>
      <c r="P74" s="349"/>
      <c r="Q74" s="260">
        <f>O74-P74</f>
        <v>0</v>
      </c>
      <c r="R74" s="4"/>
      <c r="T74" s="252">
        <f ca="1">C74*Dotation_Déterm_1_2H+D74*Dotation_Déterm_3_4H+ROUNDUP(E74*ElevePClasse_5_6H/Dotation_Déterm_5_6H,0)+ROUNDUP(F74*ElevePClasse_7_8H/Dotation_Déterm_7_8H,0)+ROUNDUP(G74*ElevePClasse_9_11H/Dotation_Déterm_9_11H,0)</f>
        <v>0</v>
      </c>
      <c r="U74">
        <f>IF(ISTEXT(N74),VLOOKUP(N74,Syst_Rang,2,0),0)</f>
        <v>0</v>
      </c>
      <c r="V74">
        <f>U74*O74</f>
        <v>0</v>
      </c>
      <c r="W74">
        <f t="shared" ref="W74" si="28">U74*Q74</f>
        <v>0</v>
      </c>
      <c r="Y74">
        <f>L74+AA75</f>
        <v>0</v>
      </c>
      <c r="Z74">
        <f>IF(Y74&gt;22,ROUNDUP(Y74/22,0),0)</f>
        <v>0</v>
      </c>
      <c r="AA74">
        <f t="shared" ref="AA74:AA77" si="29">IF(Z74=0,Y74,0)</f>
        <v>0</v>
      </c>
      <c r="AC74">
        <f>C74*Dotation_Déterm_1_2H+D74*Dotation_Déterm_3_4H+ROUNDUP(E74*Max_ElevePClasse_5_6H/Dotation_Déterm_5_6H,0)+ROUNDUP(F74*Max_ElevePClasse_7_8H/Dotation_Déterm_7_8H,0)</f>
        <v>0</v>
      </c>
      <c r="AD74">
        <f>ROUNDUP(G74*Moy_ElevePClasse_9_11H/Dotation_Déterm_9_12H,0)</f>
        <v>0</v>
      </c>
      <c r="AE74" s="261">
        <f>SUM(C74:G74)</f>
        <v>0</v>
      </c>
      <c r="AF74" s="261">
        <f>H74</f>
        <v>0</v>
      </c>
      <c r="AG74">
        <f>$I74</f>
        <v>0</v>
      </c>
      <c r="AH74" s="245"/>
      <c r="AL74" s="245"/>
      <c r="AP74" s="245"/>
      <c r="AT74" s="245"/>
      <c r="AX74" s="245"/>
      <c r="BB74" s="245"/>
    </row>
    <row r="75" spans="1:61" ht="16" x14ac:dyDescent="0.2">
      <c r="A75" s="4"/>
      <c r="B75" s="262" t="s">
        <v>134</v>
      </c>
      <c r="C75" s="88"/>
      <c r="D75" s="89"/>
      <c r="E75" s="89"/>
      <c r="F75" s="89"/>
      <c r="G75" s="89"/>
      <c r="H75" s="55"/>
      <c r="I75" s="56"/>
      <c r="J75" s="56"/>
      <c r="K75" s="258">
        <f>SUM(C75:G75)+H75+(J75&gt;0)</f>
        <v>0</v>
      </c>
      <c r="L75" s="258">
        <f>3*(SUM(C75:G75)+H75)+I75+1*(J75&gt;0)</f>
        <v>0</v>
      </c>
      <c r="M75" s="259"/>
      <c r="N75" s="350"/>
      <c r="O75" s="351"/>
      <c r="P75" s="352"/>
      <c r="Q75" s="258">
        <f t="shared" ref="Q75:Q78" si="30">O75-P75</f>
        <v>0</v>
      </c>
      <c r="R75" s="4"/>
      <c r="T75" s="252">
        <f ca="1">C75*Dotation_Déterm_1_2H+D75*Dotation_Déterm_3_4H+ROUNDUP(E75*ElevePClasse_5_6H/Dotation_Déterm_5_6H,0)+ROUNDUP(F75*ElevePClasse_7_8H/Dotation_Déterm_7_8H,0)+ROUNDUP(G75*ElevePClasse_9_11H/Dotation_Déterm_9_11H,0)</f>
        <v>0</v>
      </c>
      <c r="U75">
        <f>IF(ISTEXT(N75),VLOOKUP(N75,Syst_Rang,2,0),0)</f>
        <v>0</v>
      </c>
      <c r="V75">
        <f t="shared" ref="V75:V78" si="31">U75*O75</f>
        <v>0</v>
      </c>
      <c r="W75">
        <f>U75*Q75</f>
        <v>0</v>
      </c>
      <c r="Y75">
        <f>L75+AA76</f>
        <v>0</v>
      </c>
      <c r="Z75">
        <f>IF(Y75+L74&gt;22,ROUNDUP(Y75/22,0),0)</f>
        <v>0</v>
      </c>
      <c r="AA75">
        <f t="shared" si="29"/>
        <v>0</v>
      </c>
      <c r="AC75">
        <f>C75*Dotation_Déterm_1_2H+D75*Dotation_Déterm_3_4H+ROUNDUP(E75*Max_ElevePClasse_5_6H/Dotation_Déterm_5_6H,0)+ROUNDUP(F75*Max_ElevePClasse_7_8H/Dotation_Déterm_7_8H,0)</f>
        <v>0</v>
      </c>
      <c r="AD75">
        <f>ROUNDUP(G75*Moy_ElevePClasse_9_11H/Dotation_Déterm_9_12H,0)</f>
        <v>0</v>
      </c>
      <c r="AE75" s="261">
        <f>SUM(C75:G75)</f>
        <v>0</v>
      </c>
      <c r="AF75" s="261">
        <f>H75</f>
        <v>0</v>
      </c>
      <c r="AG75">
        <f>$I75</f>
        <v>0</v>
      </c>
      <c r="AH75" s="245"/>
      <c r="AL75" s="245"/>
      <c r="AP75" s="245"/>
      <c r="AT75" s="245"/>
      <c r="AX75" s="245"/>
      <c r="BB75" s="245"/>
    </row>
    <row r="76" spans="1:61" ht="16" x14ac:dyDescent="0.2">
      <c r="A76" s="4"/>
      <c r="B76" s="262" t="s">
        <v>135</v>
      </c>
      <c r="C76" s="88"/>
      <c r="D76" s="89"/>
      <c r="E76" s="89"/>
      <c r="F76" s="89"/>
      <c r="G76" s="89"/>
      <c r="H76" s="55"/>
      <c r="I76" s="56"/>
      <c r="J76" s="56"/>
      <c r="K76" s="258">
        <f>SUM(C76:G76)+H76+(J76&gt;0)</f>
        <v>0</v>
      </c>
      <c r="L76" s="258">
        <f>3*(SUM(C76:G76)+H76)+I76+1*(J76&gt;0)</f>
        <v>0</v>
      </c>
      <c r="M76" s="259"/>
      <c r="N76" s="350"/>
      <c r="O76" s="351"/>
      <c r="P76" s="352"/>
      <c r="Q76" s="258">
        <f t="shared" si="30"/>
        <v>0</v>
      </c>
      <c r="R76" s="4"/>
      <c r="T76" s="252">
        <f ca="1">C76*Dotation_Déterm_1_2H+D76*Dotation_Déterm_3_4H+ROUNDUP(E76*ElevePClasse_5_6H/Dotation_Déterm_5_6H,0)+ROUNDUP(F76*ElevePClasse_7_8H/Dotation_Déterm_7_8H,0)+ROUNDUP(G76*ElevePClasse_9_11H/Dotation_Déterm_9_11H,0)</f>
        <v>0</v>
      </c>
      <c r="U76">
        <f>IF(ISTEXT(N76),VLOOKUP(N76,Syst_Rang,2,0),0)</f>
        <v>0</v>
      </c>
      <c r="V76">
        <f t="shared" si="31"/>
        <v>0</v>
      </c>
      <c r="W76">
        <f t="shared" ref="W76:W78" si="32">U76*Q76</f>
        <v>0</v>
      </c>
      <c r="Y76">
        <f>L76+AA77</f>
        <v>0</v>
      </c>
      <c r="Z76">
        <f>IF(Y76+L75&gt;22,ROUNDUP(Y76/22,0),0)</f>
        <v>0</v>
      </c>
      <c r="AA76">
        <f t="shared" si="29"/>
        <v>0</v>
      </c>
      <c r="AC76">
        <f>C76*Dotation_Déterm_1_2H+D76*Dotation_Déterm_3_4H+ROUNDUP(E76*Max_ElevePClasse_5_6H/Dotation_Déterm_5_6H,0)+ROUNDUP(F76*Max_ElevePClasse_7_8H/Dotation_Déterm_7_8H,0)</f>
        <v>0</v>
      </c>
      <c r="AD76">
        <f>ROUNDUP(G76*Moy_ElevePClasse_9_11H/Dotation_Déterm_9_12H,0)</f>
        <v>0</v>
      </c>
      <c r="AE76" s="261">
        <f>SUM(C76:G76)</f>
        <v>0</v>
      </c>
      <c r="AF76" s="261">
        <f>H76</f>
        <v>0</v>
      </c>
      <c r="AG76">
        <f>$I76</f>
        <v>0</v>
      </c>
      <c r="AH76" s="245"/>
      <c r="AL76" s="245"/>
      <c r="AP76" s="245"/>
      <c r="AT76" s="245"/>
      <c r="AX76" s="245"/>
      <c r="BB76" s="245"/>
    </row>
    <row r="77" spans="1:61" ht="16" x14ac:dyDescent="0.2">
      <c r="A77" s="4"/>
      <c r="B77" s="262" t="s">
        <v>136</v>
      </c>
      <c r="C77" s="88"/>
      <c r="D77" s="89"/>
      <c r="E77" s="89"/>
      <c r="F77" s="89"/>
      <c r="G77" s="89"/>
      <c r="H77" s="55"/>
      <c r="I77" s="56"/>
      <c r="J77" s="56"/>
      <c r="K77" s="258">
        <f>SUM(C77:G77)+H77+(J77&gt;0)</f>
        <v>0</v>
      </c>
      <c r="L77" s="258">
        <f>3*(SUM(C77:G77)+H77)+I77+1*(J77&gt;0)</f>
        <v>0</v>
      </c>
      <c r="M77" s="259"/>
      <c r="N77" s="350"/>
      <c r="O77" s="351"/>
      <c r="P77" s="352"/>
      <c r="Q77" s="258">
        <f t="shared" si="30"/>
        <v>0</v>
      </c>
      <c r="R77" s="4"/>
      <c r="T77" s="252">
        <f ca="1">C77*Dotation_Déterm_1_2H+D77*Dotation_Déterm_3_4H+ROUNDUP(E77*ElevePClasse_5_6H/Dotation_Déterm_5_6H,0)+ROUNDUP(F77*ElevePClasse_7_8H/Dotation_Déterm_7_8H,0)+ROUNDUP(G77*ElevePClasse_9_11H/Dotation_Déterm_9_11H,0)</f>
        <v>0</v>
      </c>
      <c r="U77">
        <f>IF(ISTEXT(N77),VLOOKUP(N77,Syst_Rang,2,0),0)</f>
        <v>0</v>
      </c>
      <c r="V77">
        <f t="shared" si="31"/>
        <v>0</v>
      </c>
      <c r="W77">
        <f t="shared" si="32"/>
        <v>0</v>
      </c>
      <c r="Y77">
        <f>L77+AA78</f>
        <v>0</v>
      </c>
      <c r="Z77">
        <f>IF(Y77+L76&gt;22,ROUNDUP(Y77/22,0),0)</f>
        <v>0</v>
      </c>
      <c r="AA77">
        <f t="shared" si="29"/>
        <v>0</v>
      </c>
      <c r="AC77">
        <f>C77*Dotation_Déterm_1_2H+D77*Dotation_Déterm_3_4H+ROUNDUP(E77*Max_ElevePClasse_5_6H/Dotation_Déterm_5_6H,0)+ROUNDUP(F77*Max_ElevePClasse_7_8H/Dotation_Déterm_7_8H,0)</f>
        <v>0</v>
      </c>
      <c r="AD77">
        <f>ROUNDUP(G77*Moy_ElevePClasse_9_11H/Dotation_Déterm_9_12H,0)</f>
        <v>0</v>
      </c>
      <c r="AE77" s="261">
        <f>SUM(C77:G77)</f>
        <v>0</v>
      </c>
      <c r="AF77" s="261">
        <f>H77</f>
        <v>0</v>
      </c>
      <c r="AG77">
        <f>$I77</f>
        <v>0</v>
      </c>
      <c r="AH77" s="245"/>
      <c r="AL77" s="245"/>
      <c r="AP77" s="245"/>
      <c r="AT77" s="245"/>
      <c r="AX77" s="245"/>
      <c r="BB77" s="245"/>
    </row>
    <row r="78" spans="1:61" ht="16" x14ac:dyDescent="0.2">
      <c r="A78" s="4"/>
      <c r="B78" s="263" t="s">
        <v>137</v>
      </c>
      <c r="C78" s="90"/>
      <c r="D78" s="91"/>
      <c r="E78" s="91"/>
      <c r="F78" s="91"/>
      <c r="G78" s="91"/>
      <c r="H78" s="57"/>
      <c r="I78" s="58"/>
      <c r="J78" s="58"/>
      <c r="K78" s="258">
        <f>SUM(C78:G78)+H78+(J78&gt;0)</f>
        <v>0</v>
      </c>
      <c r="L78" s="258">
        <f>3*(SUM(C78:G78)+H78)+I78+1*(J78&gt;0)</f>
        <v>0</v>
      </c>
      <c r="M78" s="259"/>
      <c r="N78" s="353"/>
      <c r="O78" s="354"/>
      <c r="P78" s="355"/>
      <c r="Q78" s="264">
        <f t="shared" si="30"/>
        <v>0</v>
      </c>
      <c r="R78" s="4"/>
      <c r="T78" s="252">
        <f ca="1">C78*Dotation_Déterm_1_2H+D78*Dotation_Déterm_3_4H+ROUNDUP(E78*ElevePClasse_5_6H/Dotation_Déterm_5_6H,0)+ROUNDUP(F78*ElevePClasse_7_8H/Dotation_Déterm_7_8H,0)+ROUNDUP(G78*ElevePClasse_9_11H/Dotation_Déterm_9_11H,0)</f>
        <v>0</v>
      </c>
      <c r="U78">
        <f>IF(ISTEXT(N78),VLOOKUP(N78,Syst_Rang,2,0),0)</f>
        <v>0</v>
      </c>
      <c r="V78">
        <f t="shared" si="31"/>
        <v>0</v>
      </c>
      <c r="W78">
        <f t="shared" si="32"/>
        <v>0</v>
      </c>
      <c r="Y78">
        <f>L78</f>
        <v>0</v>
      </c>
      <c r="Z78">
        <f>IF(Y78+L77&gt;22,ROUNDUP(Y78/22,0),0)</f>
        <v>0</v>
      </c>
      <c r="AA78">
        <f>IF(Z78=0,Y78,0)</f>
        <v>0</v>
      </c>
      <c r="AC78">
        <f>C78*Dotation_Déterm_1_2H+D78*Dotation_Déterm_3_4H+ROUNDUP(E78*Max_ElevePClasse_5_6H/Dotation_Déterm_5_6H,0)+ROUNDUP(F78*Max_ElevePClasse_7_8H/Dotation_Déterm_7_8H,0)</f>
        <v>0</v>
      </c>
      <c r="AD78">
        <f>ROUNDUP(G78*Moy_ElevePClasse_9_11H/Dotation_Déterm_9_12H,0)</f>
        <v>0</v>
      </c>
      <c r="AE78" s="261">
        <f>SUM(C78:G78)</f>
        <v>0</v>
      </c>
      <c r="AF78" s="261">
        <f>H78</f>
        <v>0</v>
      </c>
      <c r="AG78">
        <f>$I78</f>
        <v>0</v>
      </c>
      <c r="AH78" s="245"/>
      <c r="AL78" s="245"/>
      <c r="AP78" s="245"/>
      <c r="AT78" s="245"/>
      <c r="AX78" s="245"/>
      <c r="BB78" s="245"/>
    </row>
    <row r="79" spans="1:61" ht="16" customHeight="1" thickBot="1" x14ac:dyDescent="0.25">
      <c r="A79" s="4"/>
      <c r="B79" s="265"/>
      <c r="C79" s="266"/>
      <c r="D79" s="266"/>
      <c r="E79" s="266"/>
      <c r="F79" s="266"/>
      <c r="G79" s="266"/>
      <c r="H79" s="266"/>
      <c r="I79" s="266"/>
      <c r="J79" s="267"/>
      <c r="K79" s="239">
        <f>SUM(K74:K78)</f>
        <v>0</v>
      </c>
      <c r="L79" s="239">
        <f>SUM(L74:L78)</f>
        <v>0</v>
      </c>
      <c r="M79" s="268"/>
      <c r="N79" s="259"/>
      <c r="O79" s="303">
        <f>SUM(O74:O78)</f>
        <v>0</v>
      </c>
      <c r="P79" s="303">
        <f>SUM(P74:P78)</f>
        <v>0</v>
      </c>
      <c r="Q79" s="303">
        <f>SUM(Q74:Q78)</f>
        <v>0</v>
      </c>
      <c r="R79" s="4"/>
      <c r="T79" s="252">
        <f>SUM(C79:G79)</f>
        <v>0</v>
      </c>
      <c r="U79" s="269"/>
      <c r="V79" s="269">
        <f t="shared" ref="V79:W79" si="33">SUM(V74:V78)</f>
        <v>0</v>
      </c>
      <c r="W79" s="269">
        <f t="shared" si="33"/>
        <v>0</v>
      </c>
      <c r="Y79">
        <f>AA74</f>
        <v>0</v>
      </c>
      <c r="Z79">
        <f>IF(L79&gt;0,MAX(1,ROUNDUP(Y79/22,0)),0)</f>
        <v>0</v>
      </c>
      <c r="AC79" s="269">
        <f t="shared" ref="AC79" si="34">SUM(AC74:AC78)</f>
        <v>0</v>
      </c>
      <c r="AD79" s="269">
        <f t="shared" ref="AD79" si="35">SUM(AD74:AD78)</f>
        <v>0</v>
      </c>
      <c r="AE79" s="269">
        <f>SUM(AE74:AE78)</f>
        <v>0</v>
      </c>
      <c r="AF79" s="269">
        <f>SUM(AF74:AF78)</f>
        <v>0</v>
      </c>
      <c r="AG79" s="269">
        <f>SUM(AG74:AG78)</f>
        <v>0</v>
      </c>
      <c r="AH79" s="270">
        <f>$AC79*INDEX(BW_ELE_1_8H,1)</f>
        <v>0</v>
      </c>
      <c r="AI79" s="269">
        <f>$AC79*INDEX(BW_ELE_1_8H,2)</f>
        <v>0</v>
      </c>
      <c r="AJ79" s="269">
        <f>$AC79*INDEX(BW_ELE_1_8H,3)</f>
        <v>0</v>
      </c>
      <c r="AK79" s="269">
        <f>$AC79*INDEX(BW_ELE_1_8H,4)</f>
        <v>0</v>
      </c>
      <c r="AL79" s="270">
        <f>$AD79*INDEX(BW_ELE_9_11H,1)</f>
        <v>0</v>
      </c>
      <c r="AM79" s="269">
        <f>$AD79*INDEX(BW_ELE_9_11H,2)</f>
        <v>0</v>
      </c>
      <c r="AN79" s="269">
        <f>$AD79*INDEX(BW_ELE_9_11H,3)</f>
        <v>0</v>
      </c>
      <c r="AO79" s="269">
        <f>$AD79*INDEX(BW_ELE_9_11H,4)</f>
        <v>0</v>
      </c>
      <c r="AP79" s="270">
        <f>$AE79*INDEX(BW_ENSEIGN,1)</f>
        <v>0</v>
      </c>
      <c r="AQ79" s="270">
        <f>$AE79*INDEX(BW_ENSEIGN,2)</f>
        <v>0</v>
      </c>
      <c r="AR79" s="270">
        <f>$AE79*INDEX(BW_ENSEIGN,3)</f>
        <v>0</v>
      </c>
      <c r="AS79" s="270">
        <f>$AE79*INDEX(BW_ENSEIGN,4)</f>
        <v>0</v>
      </c>
      <c r="AT79" s="270">
        <f>$AF79*INDEX(BW_SALLE_INFO,1)</f>
        <v>0</v>
      </c>
      <c r="AU79" s="269">
        <f>$AF79*INDEX(BW_SALLE_INFO,2)</f>
        <v>0</v>
      </c>
      <c r="AV79" s="269">
        <f>$AF79*INDEX(BW_SALLE_INFO,3)</f>
        <v>0</v>
      </c>
      <c r="AW79" s="269">
        <f>$AF79*INDEX(BW_SALLE_INFO,4)</f>
        <v>0</v>
      </c>
      <c r="AX79" s="270">
        <f>$AG79*INDEX(BW_AUTRES,1)</f>
        <v>0</v>
      </c>
      <c r="AY79" s="269">
        <f>$AG79*INDEX(BW_AUTRES,2)</f>
        <v>0</v>
      </c>
      <c r="AZ79" s="269">
        <f>$AG79*INDEX(BW_AUTRES,3)</f>
        <v>0</v>
      </c>
      <c r="BA79" s="269">
        <f>$AG79*INDEX(BW_AUTRES,4)</f>
        <v>0</v>
      </c>
      <c r="BB79" s="270">
        <f>AH79+AL79+AP79+AT79+AX79</f>
        <v>0</v>
      </c>
      <c r="BC79" s="271">
        <f>AJ79+AN79+AR79+AV79+AZ79</f>
        <v>0</v>
      </c>
      <c r="BD79" s="270">
        <f t="shared" ref="BD79" si="36">AI79+AM79+AQ79+AU79+AY79</f>
        <v>0</v>
      </c>
      <c r="BE79" s="271">
        <f>AK79+AO79+AS79+AW79+BA79</f>
        <v>0</v>
      </c>
      <c r="BF79" s="269">
        <f>IF(SUM($AC79:$AG79)&gt;0,BB79/SUM($AC79:$AG79),0)</f>
        <v>0</v>
      </c>
      <c r="BG79" s="269">
        <f>IF(SUM($AC79:$AG79)&gt;0,BD79/SUM($AC79:$AG79),0)</f>
        <v>0</v>
      </c>
    </row>
    <row r="80" spans="1:61" ht="17" thickBot="1" x14ac:dyDescent="0.25">
      <c r="A80" s="4"/>
      <c r="B80" s="387" t="s">
        <v>122</v>
      </c>
      <c r="C80" s="388"/>
      <c r="D80" s="388"/>
      <c r="E80" s="388"/>
      <c r="F80" s="388"/>
      <c r="G80" s="389"/>
      <c r="H80" s="259"/>
      <c r="I80" s="113" t="s">
        <v>68</v>
      </c>
      <c r="J80" s="259"/>
      <c r="K80" s="259"/>
      <c r="L80" s="259"/>
      <c r="M80" s="259"/>
      <c r="N80" s="259"/>
      <c r="O80" s="259"/>
      <c r="P80" s="259"/>
      <c r="Q80" s="259"/>
      <c r="R80" s="4"/>
      <c r="T80" s="252"/>
      <c r="Y80" s="269"/>
      <c r="Z80" s="269">
        <f>SUM(Z74:Z79)</f>
        <v>0</v>
      </c>
      <c r="AA80" s="269"/>
    </row>
    <row r="81" spans="1:61" ht="16" customHeight="1" x14ac:dyDescent="0.2">
      <c r="A81" s="4"/>
      <c r="B81" s="400" t="s">
        <v>123</v>
      </c>
      <c r="C81" s="401"/>
      <c r="D81" s="402"/>
      <c r="E81" s="272" t="str">
        <f>IF(AM68&gt;0,AM68,"&gt; Geb. "&amp;AC70)</f>
        <v>&gt; Geb. 1</v>
      </c>
      <c r="F81" s="403" t="s">
        <v>124</v>
      </c>
      <c r="G81" s="404"/>
      <c r="H81" s="259"/>
      <c r="I81" s="392" t="s">
        <v>125</v>
      </c>
      <c r="J81" s="393"/>
      <c r="K81" s="394"/>
      <c r="L81" s="273">
        <f>Z80</f>
        <v>0</v>
      </c>
      <c r="M81" s="259"/>
      <c r="N81" s="4"/>
      <c r="O81" s="4"/>
      <c r="P81" s="4"/>
      <c r="Q81" s="4"/>
      <c r="R81" s="4"/>
      <c r="T81" s="252"/>
      <c r="Z81">
        <f>COUNTIF(Z74:Z79,"&gt;0")</f>
        <v>0</v>
      </c>
    </row>
    <row r="82" spans="1:61" ht="16" customHeight="1" x14ac:dyDescent="0.2">
      <c r="A82" s="4"/>
      <c r="B82" s="405" t="s">
        <v>126</v>
      </c>
      <c r="C82" s="406"/>
      <c r="D82" s="407"/>
      <c r="E82" s="274" t="str">
        <f>IF(AM70&gt;0,AM70,"&gt; Geb. "&amp;AC70)</f>
        <v>&gt; Geb. 1</v>
      </c>
      <c r="F82" s="408" t="str">
        <f>IF(AG68&gt;0,"1 ","") &amp; IF(AH68&gt;0,"2 ","") &amp; IF(AI68&gt;0,"3 ","") &amp; IF(AJ68&gt;0,"4 ","") &amp; IF(AK68&gt;0,"5","")</f>
        <v/>
      </c>
      <c r="G82" s="409"/>
      <c r="H82" s="259"/>
      <c r="I82" s="395" t="s">
        <v>127</v>
      </c>
      <c r="J82" s="396"/>
      <c r="K82" s="397"/>
      <c r="L82" s="275">
        <f>Z81</f>
        <v>0</v>
      </c>
      <c r="M82" s="259"/>
      <c r="N82" s="4"/>
      <c r="O82" s="4"/>
      <c r="P82" s="4"/>
      <c r="Q82" s="4"/>
      <c r="R82" s="4"/>
      <c r="T82" s="252"/>
    </row>
    <row r="83" spans="1:61" x14ac:dyDescent="0.2">
      <c r="A83" s="4"/>
      <c r="B83" s="4"/>
      <c r="C83" s="4"/>
      <c r="D83" s="4"/>
      <c r="E83" s="4"/>
      <c r="F83" s="4"/>
      <c r="G83" s="4"/>
      <c r="H83" s="4"/>
      <c r="I83" s="4"/>
      <c r="J83" s="4"/>
      <c r="K83" s="4"/>
      <c r="L83" s="4"/>
      <c r="M83" s="4"/>
      <c r="N83" s="4"/>
      <c r="O83" s="4"/>
      <c r="P83" s="4"/>
      <c r="Q83" s="4"/>
      <c r="R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300"/>
      <c r="BI83" s="300"/>
    </row>
    <row r="84" spans="1:61" x14ac:dyDescent="0.2">
      <c r="A84" s="4"/>
      <c r="B84" s="4"/>
      <c r="C84" s="4"/>
      <c r="D84" s="4"/>
      <c r="E84" s="4"/>
      <c r="F84" s="4"/>
      <c r="G84" s="4"/>
      <c r="H84" s="4"/>
      <c r="I84" s="4"/>
      <c r="J84" s="4"/>
      <c r="K84" s="4"/>
      <c r="L84" s="4"/>
      <c r="M84" s="4"/>
      <c r="N84" s="4"/>
      <c r="O84" s="4"/>
      <c r="P84" s="4"/>
      <c r="Q84" s="4"/>
      <c r="R84" s="4"/>
      <c r="AF84" s="241"/>
      <c r="AG84" s="242">
        <f>IF(AND(AC85=AC87,$AC$36=$AC85),1,0)</f>
        <v>0</v>
      </c>
      <c r="AH84" s="242">
        <f>IF(AND(AC85=AC87,$AC$53=$AC85),2,0)</f>
        <v>0</v>
      </c>
      <c r="AI84" s="242">
        <f>IF(AND(AC85=AC87,$AC$70=$AC85),3,0)</f>
        <v>0</v>
      </c>
      <c r="AJ84" s="242">
        <f>IF(AND(AC85=AC87,$AC$87=$AC85),4,0)</f>
        <v>0</v>
      </c>
      <c r="AK84" s="242">
        <f>IF(AND(AC85=AC87,$AC$104=$AC85),5,0)</f>
        <v>0</v>
      </c>
      <c r="AL84" s="242" t="s">
        <v>52</v>
      </c>
      <c r="AM84" s="242" t="s">
        <v>53</v>
      </c>
    </row>
    <row r="85" spans="1:61" ht="19" x14ac:dyDescent="0.25">
      <c r="A85" s="4"/>
      <c r="B85" s="237" t="s">
        <v>138</v>
      </c>
      <c r="C85" s="4"/>
      <c r="D85" s="244" t="s">
        <v>55</v>
      </c>
      <c r="E85" s="421"/>
      <c r="F85" s="422"/>
      <c r="G85" s="4"/>
      <c r="H85" s="4"/>
      <c r="I85" s="4"/>
      <c r="J85" s="4"/>
      <c r="K85" s="4"/>
      <c r="L85" s="4"/>
      <c r="M85" s="4"/>
      <c r="N85" s="4"/>
      <c r="O85" s="4"/>
      <c r="P85" s="4"/>
      <c r="Q85" s="4"/>
      <c r="R85" s="4"/>
      <c r="AC85">
        <f>VALUE(RIGHT(B85,1))</f>
        <v>4</v>
      </c>
      <c r="AF85" s="245" t="s">
        <v>56</v>
      </c>
      <c r="AG85">
        <f>IF(AG84&gt;0,$BB$45,0)</f>
        <v>0</v>
      </c>
      <c r="AH85">
        <f>IF(AH84&gt;0,$BB$62,0)</f>
        <v>0</v>
      </c>
      <c r="AI85">
        <f>IF(AI84&gt;0,$BB$79,0)</f>
        <v>0</v>
      </c>
      <c r="AJ85">
        <f>IF(AJ84&gt;0,$BB$96,0)</f>
        <v>0</v>
      </c>
      <c r="AK85">
        <f>IF(AK84&gt;0,$BB$113,0)</f>
        <v>0</v>
      </c>
      <c r="AL85">
        <f>SUM(AG85:AK85)</f>
        <v>0</v>
      </c>
      <c r="AM85" s="246">
        <f>ROUND(AL85/10,0)*10</f>
        <v>0</v>
      </c>
    </row>
    <row r="86" spans="1:61" x14ac:dyDescent="0.2">
      <c r="A86" s="4"/>
      <c r="B86" s="4"/>
      <c r="C86" s="4"/>
      <c r="D86" s="244" t="s">
        <v>129</v>
      </c>
      <c r="E86" s="418" t="s">
        <v>130</v>
      </c>
      <c r="F86" s="419"/>
      <c r="G86" s="4"/>
      <c r="H86" s="4"/>
      <c r="I86" s="4"/>
      <c r="J86" s="4"/>
      <c r="K86" s="4"/>
      <c r="L86" s="4"/>
      <c r="M86" s="4"/>
      <c r="N86" s="4"/>
      <c r="O86" s="4"/>
      <c r="P86" s="4"/>
      <c r="Q86" s="4"/>
      <c r="R86" s="4"/>
      <c r="AF86" s="245" t="s">
        <v>59</v>
      </c>
      <c r="AG86">
        <f>IF(AG85&gt;0,$BC$45,0)</f>
        <v>0</v>
      </c>
      <c r="AH86">
        <f>IF(AH85&gt;0,$BC$62,0)</f>
        <v>0</v>
      </c>
      <c r="AI86">
        <f>IF(AI85&gt;0,$BC$79,0)</f>
        <v>0</v>
      </c>
      <c r="AJ86">
        <f>IF(AJ85&gt;0,$BC$96,0)</f>
        <v>0</v>
      </c>
      <c r="AK86">
        <f>IF(AK85&gt;0,$BC$113,0)</f>
        <v>0</v>
      </c>
      <c r="AL86">
        <f t="shared" ref="AL86:AL88" si="37">SUM(AG86:AK86)</f>
        <v>0</v>
      </c>
      <c r="AM86" s="246">
        <f>ROUNDUP(AL86/10,0)*10</f>
        <v>0</v>
      </c>
    </row>
    <row r="87" spans="1:61" x14ac:dyDescent="0.2">
      <c r="A87" s="4"/>
      <c r="B87" s="4"/>
      <c r="C87" s="4"/>
      <c r="D87" s="244" t="s">
        <v>60</v>
      </c>
      <c r="E87" s="390" t="s">
        <v>61</v>
      </c>
      <c r="F87" s="391"/>
      <c r="G87" s="277" t="str">
        <f ca="1">IF(AE87=1,"       Das angegebene Gebäude hat keinen Internetanschluss!","")</f>
        <v/>
      </c>
      <c r="H87" s="277"/>
      <c r="I87" s="4"/>
      <c r="J87" s="4"/>
      <c r="K87" s="4"/>
      <c r="L87" s="4"/>
      <c r="M87" s="4"/>
      <c r="N87" s="4"/>
      <c r="O87" s="4"/>
      <c r="P87" s="4"/>
      <c r="Q87" s="4"/>
      <c r="R87" s="4"/>
      <c r="AC87">
        <f>IF(OR(E86="non",E86="nein"),VALUE(RIGHT(E87,1)),VALUE(RIGHT(B85,1)))</f>
        <v>1</v>
      </c>
      <c r="AD87" t="str">
        <f>ADDRESS((AC87-1)*pas_vertical+ROW(E$36),COLUMN(AC87))</f>
        <v>$AC$36</v>
      </c>
      <c r="AE87" cm="1">
        <f t="array" aca="1" ref="AE87" ca="1">IF(AC87&lt;&gt;INDIRECT(ADDRESS((AC87-1)*17+ROW(E$36),COLUMN(AC87))),1,0)</f>
        <v>0</v>
      </c>
      <c r="AF87" s="245" t="s">
        <v>62</v>
      </c>
      <c r="AG87">
        <f>IF(AG86&gt;0,$BD$45,0)</f>
        <v>0</v>
      </c>
      <c r="AH87">
        <f>IF(AH86&gt;0,$BD$62,0)</f>
        <v>0</v>
      </c>
      <c r="AI87">
        <f>IF(AI86&gt;0,$BD$79,0)</f>
        <v>0</v>
      </c>
      <c r="AJ87">
        <f>IF(AJ86&gt;0,$BD$96,0)</f>
        <v>0</v>
      </c>
      <c r="AK87">
        <f>IF(AK86&gt;0,$BD$113,0)</f>
        <v>0</v>
      </c>
      <c r="AL87">
        <f t="shared" si="37"/>
        <v>0</v>
      </c>
      <c r="AM87" s="246">
        <f t="shared" ref="AM87" si="38">ROUND(AL87/10,0)*10</f>
        <v>0</v>
      </c>
    </row>
    <row r="88" spans="1:61" x14ac:dyDescent="0.2">
      <c r="A88" s="4"/>
      <c r="B88" s="4"/>
      <c r="C88" s="4"/>
      <c r="D88" s="103"/>
      <c r="E88" s="4"/>
      <c r="F88" s="4"/>
      <c r="G88" s="4"/>
      <c r="H88" s="4"/>
      <c r="I88" s="4"/>
      <c r="J88" s="4"/>
      <c r="K88" s="4"/>
      <c r="L88" s="4"/>
      <c r="M88" s="4"/>
      <c r="N88" s="4"/>
      <c r="O88" s="4"/>
      <c r="P88" s="4"/>
      <c r="Q88" s="4"/>
      <c r="R88" s="4"/>
      <c r="T88" s="17" t="s">
        <v>63</v>
      </c>
      <c r="AF88" s="248" t="s">
        <v>64</v>
      </c>
      <c r="AG88" s="249">
        <f>IF(AG87&gt;0,$BE$45,0)</f>
        <v>0</v>
      </c>
      <c r="AH88" s="249">
        <f>IF(AH87&gt;0,$BE$62,0)</f>
        <v>0</v>
      </c>
      <c r="AI88" s="249">
        <f>IF(AI87&gt;0,$BE$79,0)</f>
        <v>0</v>
      </c>
      <c r="AJ88" s="249">
        <f>IF(AJ87&gt;0,$BE$96,0)</f>
        <v>0</v>
      </c>
      <c r="AK88" s="249">
        <f>IF(AK87&gt;0,$BE$113,0)</f>
        <v>0</v>
      </c>
      <c r="AL88" s="249">
        <f t="shared" si="37"/>
        <v>0</v>
      </c>
      <c r="AM88" s="250">
        <f>ROUNDUP(AL88/10,0)*10</f>
        <v>0</v>
      </c>
    </row>
    <row r="89" spans="1:61" ht="28" customHeight="1" x14ac:dyDescent="0.2">
      <c r="A89" s="4"/>
      <c r="B89" s="238"/>
      <c r="C89" s="387" t="s">
        <v>65</v>
      </c>
      <c r="D89" s="388"/>
      <c r="E89" s="388"/>
      <c r="F89" s="388"/>
      <c r="G89" s="389"/>
      <c r="H89" s="398" t="s">
        <v>66</v>
      </c>
      <c r="I89" s="387" t="s">
        <v>67</v>
      </c>
      <c r="J89" s="389"/>
      <c r="K89" s="387" t="s">
        <v>68</v>
      </c>
      <c r="L89" s="389"/>
      <c r="M89" s="251"/>
      <c r="N89" s="387" t="s">
        <v>69</v>
      </c>
      <c r="O89" s="388"/>
      <c r="P89" s="388"/>
      <c r="Q89" s="389"/>
      <c r="R89" s="4"/>
      <c r="T89" s="252" t="s">
        <v>70</v>
      </c>
      <c r="U89" s="240" t="s">
        <v>71</v>
      </c>
      <c r="Y89" s="240" t="s">
        <v>72</v>
      </c>
      <c r="Z89" s="240"/>
      <c r="AA89" s="240"/>
    </row>
    <row r="90" spans="1:61" ht="64" x14ac:dyDescent="0.2">
      <c r="A90" s="4"/>
      <c r="B90" s="238"/>
      <c r="C90" s="113" t="s">
        <v>20</v>
      </c>
      <c r="D90" s="113" t="s">
        <v>21</v>
      </c>
      <c r="E90" s="113" t="s">
        <v>22</v>
      </c>
      <c r="F90" s="113" t="s">
        <v>23</v>
      </c>
      <c r="G90" s="113" t="s">
        <v>24</v>
      </c>
      <c r="H90" s="399"/>
      <c r="I90" s="113" t="s">
        <v>73</v>
      </c>
      <c r="J90" s="113" t="s">
        <v>74</v>
      </c>
      <c r="K90" s="113" t="s">
        <v>75</v>
      </c>
      <c r="L90" s="113" t="s">
        <v>76</v>
      </c>
      <c r="M90" s="253"/>
      <c r="N90" s="113" t="s">
        <v>35</v>
      </c>
      <c r="O90" s="113" t="s">
        <v>77</v>
      </c>
      <c r="P90" s="113" t="s">
        <v>78</v>
      </c>
      <c r="Q90" s="113" t="s">
        <v>79</v>
      </c>
      <c r="R90" s="4"/>
      <c r="T90" s="252"/>
      <c r="U90" s="254" t="s">
        <v>80</v>
      </c>
      <c r="V90" s="254" t="s">
        <v>81</v>
      </c>
      <c r="W90" s="254" t="s">
        <v>82</v>
      </c>
      <c r="Y90" s="254" t="s">
        <v>83</v>
      </c>
      <c r="Z90" s="254" t="s">
        <v>84</v>
      </c>
      <c r="AA90" s="254" t="s">
        <v>85</v>
      </c>
      <c r="AC90" s="254" t="s">
        <v>86</v>
      </c>
      <c r="AD90" s="254" t="s">
        <v>87</v>
      </c>
      <c r="AE90" s="254" t="s">
        <v>88</v>
      </c>
      <c r="AF90" s="254" t="s">
        <v>132</v>
      </c>
      <c r="AG90" s="254" t="s">
        <v>90</v>
      </c>
      <c r="AH90" s="255" t="s">
        <v>91</v>
      </c>
      <c r="AI90" s="254" t="s">
        <v>92</v>
      </c>
      <c r="AJ90" s="254" t="s">
        <v>93</v>
      </c>
      <c r="AK90" s="254" t="s">
        <v>94</v>
      </c>
      <c r="AL90" s="255" t="s">
        <v>95</v>
      </c>
      <c r="AM90" s="254" t="s">
        <v>96</v>
      </c>
      <c r="AN90" s="254" t="s">
        <v>97</v>
      </c>
      <c r="AO90" s="254" t="s">
        <v>98</v>
      </c>
      <c r="AP90" s="255" t="s">
        <v>99</v>
      </c>
      <c r="AQ90" s="254" t="s">
        <v>100</v>
      </c>
      <c r="AR90" s="254" t="s">
        <v>101</v>
      </c>
      <c r="AS90" s="254" t="s">
        <v>102</v>
      </c>
      <c r="AT90" s="255" t="s">
        <v>103</v>
      </c>
      <c r="AU90" s="254" t="s">
        <v>104</v>
      </c>
      <c r="AV90" s="254" t="s">
        <v>105</v>
      </c>
      <c r="AW90" s="254" t="s">
        <v>106</v>
      </c>
      <c r="AX90" s="255" t="s">
        <v>107</v>
      </c>
      <c r="AY90" s="254" t="s">
        <v>108</v>
      </c>
      <c r="AZ90" s="254" t="s">
        <v>109</v>
      </c>
      <c r="BA90" s="254" t="s">
        <v>110</v>
      </c>
      <c r="BB90" s="256" t="s">
        <v>111</v>
      </c>
      <c r="BC90" s="256" t="s">
        <v>112</v>
      </c>
      <c r="BD90" s="256" t="s">
        <v>113</v>
      </c>
      <c r="BE90" s="256" t="s">
        <v>114</v>
      </c>
      <c r="BF90" s="254" t="s">
        <v>115</v>
      </c>
      <c r="BG90" s="254" t="s">
        <v>116</v>
      </c>
    </row>
    <row r="91" spans="1:61" ht="16" x14ac:dyDescent="0.2">
      <c r="A91" s="4"/>
      <c r="B91" s="257" t="s">
        <v>133</v>
      </c>
      <c r="C91" s="88"/>
      <c r="D91" s="89"/>
      <c r="E91" s="89"/>
      <c r="F91" s="89"/>
      <c r="G91" s="89"/>
      <c r="H91" s="55"/>
      <c r="I91" s="56"/>
      <c r="J91" s="56"/>
      <c r="K91" s="258">
        <f>SUM(C91:G91)+H91+(J91&gt;0)</f>
        <v>0</v>
      </c>
      <c r="L91" s="258">
        <f>3*(SUM(C91:G91)+H91)+I91+1*(J91&gt;0)</f>
        <v>0</v>
      </c>
      <c r="M91" s="259"/>
      <c r="N91" s="347"/>
      <c r="O91" s="348"/>
      <c r="P91" s="349"/>
      <c r="Q91" s="260">
        <f>O91-P91</f>
        <v>0</v>
      </c>
      <c r="R91" s="4"/>
      <c r="T91" s="252">
        <f ca="1">C91*Dotation_Déterm_1_2H+D91*Dotation_Déterm_3_4H+ROUNDUP(E91*ElevePClasse_5_6H/Dotation_Déterm_5_6H,0)+ROUNDUP(F91*ElevePClasse_7_8H/Dotation_Déterm_7_8H,0)+ROUNDUP(G91*ElevePClasse_9_11H/Dotation_Déterm_9_11H,0)</f>
        <v>0</v>
      </c>
      <c r="U91">
        <f>IF(ISTEXT(N91),VLOOKUP(N91,Syst_Rang,2,0),0)</f>
        <v>0</v>
      </c>
      <c r="V91">
        <f>U91*O91</f>
        <v>0</v>
      </c>
      <c r="W91">
        <f t="shared" ref="W91" si="39">U91*Q91</f>
        <v>0</v>
      </c>
      <c r="Y91">
        <f>L91+AA92</f>
        <v>0</v>
      </c>
      <c r="Z91">
        <f>IF(Y91&gt;22,ROUNDUP(Y91/22,0),0)</f>
        <v>0</v>
      </c>
      <c r="AA91">
        <f t="shared" ref="AA91:AA94" si="40">IF(Z91=0,Y91,0)</f>
        <v>0</v>
      </c>
      <c r="AC91">
        <f>C91*Dotation_Déterm_1_2H+D91*Dotation_Déterm_3_4H+ROUNDUP(E91*Max_ElevePClasse_5_6H/Dotation_Déterm_5_6H,0)+ROUNDUP(F91*Max_ElevePClasse_7_8H/Dotation_Déterm_7_8H,0)</f>
        <v>0</v>
      </c>
      <c r="AD91">
        <f>ROUNDUP(G91*Moy_ElevePClasse_9_11H/Dotation_Déterm_9_12H,0)</f>
        <v>0</v>
      </c>
      <c r="AE91" s="261">
        <f>SUM(C91:G91)</f>
        <v>0</v>
      </c>
      <c r="AF91" s="261">
        <f>H91</f>
        <v>0</v>
      </c>
      <c r="AG91">
        <f>$I91</f>
        <v>0</v>
      </c>
      <c r="AH91" s="245"/>
      <c r="AL91" s="245"/>
      <c r="AP91" s="245"/>
      <c r="AT91" s="245"/>
      <c r="AX91" s="245"/>
      <c r="BB91" s="245"/>
    </row>
    <row r="92" spans="1:61" ht="16" x14ac:dyDescent="0.2">
      <c r="A92" s="4"/>
      <c r="B92" s="262" t="s">
        <v>134</v>
      </c>
      <c r="C92" s="88"/>
      <c r="D92" s="89"/>
      <c r="E92" s="89"/>
      <c r="F92" s="89"/>
      <c r="G92" s="89"/>
      <c r="H92" s="55"/>
      <c r="I92" s="56"/>
      <c r="J92" s="56"/>
      <c r="K92" s="258">
        <f>SUM(C92:G92)+H92+(J92&gt;0)</f>
        <v>0</v>
      </c>
      <c r="L92" s="258">
        <f>3*(SUM(C92:G92)+H92)+I92+1*(J92&gt;0)</f>
        <v>0</v>
      </c>
      <c r="M92" s="259"/>
      <c r="N92" s="350"/>
      <c r="O92" s="351"/>
      <c r="P92" s="352"/>
      <c r="Q92" s="258">
        <f t="shared" ref="Q92:Q95" si="41">O92-P92</f>
        <v>0</v>
      </c>
      <c r="R92" s="4"/>
      <c r="T92" s="252">
        <f ca="1">C92*Dotation_Déterm_1_2H+D92*Dotation_Déterm_3_4H+ROUNDUP(E92*ElevePClasse_5_6H/Dotation_Déterm_5_6H,0)+ROUNDUP(F92*ElevePClasse_7_8H/Dotation_Déterm_7_8H,0)+ROUNDUP(G92*ElevePClasse_9_11H/Dotation_Déterm_9_11H,0)</f>
        <v>0</v>
      </c>
      <c r="U92">
        <f>IF(ISTEXT(N92),VLOOKUP(N92,Syst_Rang,2,0),0)</f>
        <v>0</v>
      </c>
      <c r="V92">
        <f t="shared" ref="V92:V95" si="42">U92*O92</f>
        <v>0</v>
      </c>
      <c r="W92">
        <f>U92*Q92</f>
        <v>0</v>
      </c>
      <c r="Y92">
        <f>L92+AA93</f>
        <v>0</v>
      </c>
      <c r="Z92">
        <f>IF(Y92+L91&gt;22,ROUNDUP(Y92/22,0),0)</f>
        <v>0</v>
      </c>
      <c r="AA92">
        <f t="shared" si="40"/>
        <v>0</v>
      </c>
      <c r="AC92">
        <f>C92*Dotation_Déterm_1_2H+D92*Dotation_Déterm_3_4H+ROUNDUP(E92*Max_ElevePClasse_5_6H/Dotation_Déterm_5_6H,0)+ROUNDUP(F92*Max_ElevePClasse_7_8H/Dotation_Déterm_7_8H,0)</f>
        <v>0</v>
      </c>
      <c r="AD92">
        <f>ROUNDUP(G92*Moy_ElevePClasse_9_11H/Dotation_Déterm_9_12H,0)</f>
        <v>0</v>
      </c>
      <c r="AE92" s="261">
        <f>SUM(C92:G92)</f>
        <v>0</v>
      </c>
      <c r="AF92" s="261">
        <f>H92</f>
        <v>0</v>
      </c>
      <c r="AG92">
        <f>$I92</f>
        <v>0</v>
      </c>
      <c r="AH92" s="245"/>
      <c r="AL92" s="245"/>
      <c r="AP92" s="245"/>
      <c r="AT92" s="245"/>
      <c r="AX92" s="245"/>
      <c r="BB92" s="245"/>
    </row>
    <row r="93" spans="1:61" ht="16" x14ac:dyDescent="0.2">
      <c r="A93" s="4"/>
      <c r="B93" s="262" t="s">
        <v>135</v>
      </c>
      <c r="C93" s="88"/>
      <c r="D93" s="89"/>
      <c r="E93" s="89"/>
      <c r="F93" s="89"/>
      <c r="G93" s="89"/>
      <c r="H93" s="55"/>
      <c r="I93" s="56"/>
      <c r="J93" s="56"/>
      <c r="K93" s="258">
        <f>SUM(C93:G93)+H93+(J93&gt;0)</f>
        <v>0</v>
      </c>
      <c r="L93" s="258">
        <f>3*(SUM(C93:G93)+H93)+I93+1*(J93&gt;0)</f>
        <v>0</v>
      </c>
      <c r="M93" s="259"/>
      <c r="N93" s="350"/>
      <c r="O93" s="351"/>
      <c r="P93" s="352"/>
      <c r="Q93" s="258">
        <f t="shared" si="41"/>
        <v>0</v>
      </c>
      <c r="R93" s="4"/>
      <c r="T93" s="252">
        <f ca="1">C93*Dotation_Déterm_1_2H+D93*Dotation_Déterm_3_4H+ROUNDUP(E93*ElevePClasse_5_6H/Dotation_Déterm_5_6H,0)+ROUNDUP(F93*ElevePClasse_7_8H/Dotation_Déterm_7_8H,0)+ROUNDUP(G93*ElevePClasse_9_11H/Dotation_Déterm_9_11H,0)</f>
        <v>0</v>
      </c>
      <c r="U93">
        <f>IF(ISTEXT(N93),VLOOKUP(N93,Syst_Rang,2,0),0)</f>
        <v>0</v>
      </c>
      <c r="V93">
        <f t="shared" si="42"/>
        <v>0</v>
      </c>
      <c r="W93">
        <f t="shared" ref="W93:W95" si="43">U93*Q93</f>
        <v>0</v>
      </c>
      <c r="Y93">
        <f>L93+AA94</f>
        <v>0</v>
      </c>
      <c r="Z93">
        <f>IF(Y93+L92&gt;22,ROUNDUP(Y93/22,0),0)</f>
        <v>0</v>
      </c>
      <c r="AA93">
        <f t="shared" si="40"/>
        <v>0</v>
      </c>
      <c r="AC93">
        <f>C93*Dotation_Déterm_1_2H+D93*Dotation_Déterm_3_4H+ROUNDUP(E93*Max_ElevePClasse_5_6H/Dotation_Déterm_5_6H,0)+ROUNDUP(F93*Max_ElevePClasse_7_8H/Dotation_Déterm_7_8H,0)</f>
        <v>0</v>
      </c>
      <c r="AD93">
        <f>ROUNDUP(G93*Moy_ElevePClasse_9_11H/Dotation_Déterm_9_12H,0)</f>
        <v>0</v>
      </c>
      <c r="AE93" s="261">
        <f>SUM(C93:G93)</f>
        <v>0</v>
      </c>
      <c r="AF93" s="261">
        <f>H93</f>
        <v>0</v>
      </c>
      <c r="AG93">
        <f>$I93</f>
        <v>0</v>
      </c>
      <c r="AH93" s="245"/>
      <c r="AL93" s="245"/>
      <c r="AP93" s="245"/>
      <c r="AT93" s="245"/>
      <c r="AX93" s="245"/>
      <c r="BB93" s="245"/>
    </row>
    <row r="94" spans="1:61" ht="16" x14ac:dyDescent="0.2">
      <c r="A94" s="4"/>
      <c r="B94" s="262" t="s">
        <v>136</v>
      </c>
      <c r="C94" s="88"/>
      <c r="D94" s="89"/>
      <c r="E94" s="89"/>
      <c r="F94" s="89"/>
      <c r="G94" s="89"/>
      <c r="H94" s="55"/>
      <c r="I94" s="56"/>
      <c r="J94" s="56"/>
      <c r="K94" s="258">
        <f>SUM(C94:G94)+H94+(J94&gt;0)</f>
        <v>0</v>
      </c>
      <c r="L94" s="258">
        <f>3*(SUM(C94:G94)+H94)+I94+1*(J94&gt;0)</f>
        <v>0</v>
      </c>
      <c r="M94" s="259"/>
      <c r="N94" s="350"/>
      <c r="O94" s="351"/>
      <c r="P94" s="352"/>
      <c r="Q94" s="258">
        <f t="shared" si="41"/>
        <v>0</v>
      </c>
      <c r="R94" s="4"/>
      <c r="T94" s="252">
        <f ca="1">C94*Dotation_Déterm_1_2H+D94*Dotation_Déterm_3_4H+ROUNDUP(E94*ElevePClasse_5_6H/Dotation_Déterm_5_6H,0)+ROUNDUP(F94*ElevePClasse_7_8H/Dotation_Déterm_7_8H,0)+ROUNDUP(G94*ElevePClasse_9_11H/Dotation_Déterm_9_11H,0)</f>
        <v>0</v>
      </c>
      <c r="U94">
        <f>IF(ISTEXT(N94),VLOOKUP(N94,Syst_Rang,2,0),0)</f>
        <v>0</v>
      </c>
      <c r="V94">
        <f t="shared" si="42"/>
        <v>0</v>
      </c>
      <c r="W94">
        <f t="shared" si="43"/>
        <v>0</v>
      </c>
      <c r="Y94">
        <f>L94+AA95</f>
        <v>0</v>
      </c>
      <c r="Z94">
        <f>IF(Y94+L93&gt;22,ROUNDUP(Y94/22,0),0)</f>
        <v>0</v>
      </c>
      <c r="AA94">
        <f t="shared" si="40"/>
        <v>0</v>
      </c>
      <c r="AC94">
        <f>C94*Dotation_Déterm_1_2H+D94*Dotation_Déterm_3_4H+ROUNDUP(E94*Max_ElevePClasse_5_6H/Dotation_Déterm_5_6H,0)+ROUNDUP(F94*Max_ElevePClasse_7_8H/Dotation_Déterm_7_8H,0)</f>
        <v>0</v>
      </c>
      <c r="AD94">
        <f>ROUNDUP(G94*Moy_ElevePClasse_9_11H/Dotation_Déterm_9_12H,0)</f>
        <v>0</v>
      </c>
      <c r="AE94" s="261">
        <f>SUM(C94:G94)</f>
        <v>0</v>
      </c>
      <c r="AF94" s="261">
        <f>H94</f>
        <v>0</v>
      </c>
      <c r="AG94">
        <f>$I94</f>
        <v>0</v>
      </c>
      <c r="AH94" s="245"/>
      <c r="AL94" s="245"/>
      <c r="AP94" s="245"/>
      <c r="AT94" s="245"/>
      <c r="AX94" s="245"/>
      <c r="BB94" s="245"/>
    </row>
    <row r="95" spans="1:61" ht="16" x14ac:dyDescent="0.2">
      <c r="A95" s="4"/>
      <c r="B95" s="263" t="s">
        <v>137</v>
      </c>
      <c r="C95" s="90"/>
      <c r="D95" s="91"/>
      <c r="E95" s="91"/>
      <c r="F95" s="91"/>
      <c r="G95" s="91"/>
      <c r="H95" s="57"/>
      <c r="I95" s="58"/>
      <c r="J95" s="58"/>
      <c r="K95" s="258">
        <f>SUM(C95:G95)+H95+(J95&gt;0)</f>
        <v>0</v>
      </c>
      <c r="L95" s="258">
        <f>3*(SUM(C95:G95)+H95)+I95+1*(J95&gt;0)</f>
        <v>0</v>
      </c>
      <c r="M95" s="259"/>
      <c r="N95" s="353"/>
      <c r="O95" s="354"/>
      <c r="P95" s="355"/>
      <c r="Q95" s="264">
        <f t="shared" si="41"/>
        <v>0</v>
      </c>
      <c r="R95" s="4"/>
      <c r="T95" s="252">
        <f ca="1">C95*Dotation_Déterm_1_2H+D95*Dotation_Déterm_3_4H+ROUNDUP(E95*ElevePClasse_5_6H/Dotation_Déterm_5_6H,0)+ROUNDUP(F95*ElevePClasse_7_8H/Dotation_Déterm_7_8H,0)+ROUNDUP(G95*ElevePClasse_9_11H/Dotation_Déterm_9_11H,0)</f>
        <v>0</v>
      </c>
      <c r="U95">
        <f>IF(ISTEXT(N95),VLOOKUP(N95,Syst_Rang,2,0),0)</f>
        <v>0</v>
      </c>
      <c r="V95">
        <f t="shared" si="42"/>
        <v>0</v>
      </c>
      <c r="W95">
        <f t="shared" si="43"/>
        <v>0</v>
      </c>
      <c r="Y95">
        <f>L95</f>
        <v>0</v>
      </c>
      <c r="Z95">
        <f>IF(Y95+L94&gt;22,ROUNDUP(Y95/22,0),0)</f>
        <v>0</v>
      </c>
      <c r="AA95">
        <f>IF(Z95=0,Y95,0)</f>
        <v>0</v>
      </c>
      <c r="AC95">
        <f>C95*Dotation_Déterm_1_2H+D95*Dotation_Déterm_3_4H+ROUNDUP(E95*Max_ElevePClasse_5_6H/Dotation_Déterm_5_6H,0)+ROUNDUP(F95*Max_ElevePClasse_7_8H/Dotation_Déterm_7_8H,0)</f>
        <v>0</v>
      </c>
      <c r="AD95">
        <f>ROUNDUP(G95*Moy_ElevePClasse_9_11H/Dotation_Déterm_9_12H,0)</f>
        <v>0</v>
      </c>
      <c r="AE95" s="261">
        <f>SUM(C95:G95)</f>
        <v>0</v>
      </c>
      <c r="AF95" s="261">
        <f>H95</f>
        <v>0</v>
      </c>
      <c r="AG95">
        <f>$I95</f>
        <v>0</v>
      </c>
      <c r="AH95" s="245"/>
      <c r="AL95" s="245"/>
      <c r="AP95" s="245"/>
      <c r="AT95" s="245"/>
      <c r="AX95" s="245"/>
      <c r="BB95" s="245"/>
    </row>
    <row r="96" spans="1:61" ht="16" customHeight="1" thickBot="1" x14ac:dyDescent="0.25">
      <c r="A96" s="4"/>
      <c r="B96" s="265"/>
      <c r="C96" s="266"/>
      <c r="D96" s="266"/>
      <c r="E96" s="266"/>
      <c r="F96" s="266"/>
      <c r="G96" s="266"/>
      <c r="H96" s="266"/>
      <c r="I96" s="266"/>
      <c r="J96" s="267"/>
      <c r="K96" s="239">
        <f>SUM(K91:K95)</f>
        <v>0</v>
      </c>
      <c r="L96" s="239">
        <f>SUM(L91:L95)</f>
        <v>0</v>
      </c>
      <c r="M96" s="268"/>
      <c r="N96" s="259"/>
      <c r="O96" s="303">
        <f>SUM(O91:O95)</f>
        <v>0</v>
      </c>
      <c r="P96" s="303">
        <f>SUM(P91:P95)</f>
        <v>0</v>
      </c>
      <c r="Q96" s="303">
        <f>SUM(Q91:Q95)</f>
        <v>0</v>
      </c>
      <c r="R96" s="4"/>
      <c r="T96" s="252">
        <f>SUM(C96:G96)</f>
        <v>0</v>
      </c>
      <c r="U96" s="269"/>
      <c r="V96" s="269">
        <f t="shared" ref="V96:W96" si="44">SUM(V91:V95)</f>
        <v>0</v>
      </c>
      <c r="W96" s="269">
        <f t="shared" si="44"/>
        <v>0</v>
      </c>
      <c r="Y96">
        <f>AA91</f>
        <v>0</v>
      </c>
      <c r="Z96">
        <f>IF(L96&gt;0,MAX(1,ROUNDUP(Y96/22,0)),0)</f>
        <v>0</v>
      </c>
      <c r="AC96" s="269">
        <f t="shared" ref="AC96" si="45">SUM(AC91:AC95)</f>
        <v>0</v>
      </c>
      <c r="AD96" s="269">
        <f t="shared" ref="AD96" si="46">SUM(AD91:AD95)</f>
        <v>0</v>
      </c>
      <c r="AE96" s="269">
        <f>SUM(AE91:AE95)</f>
        <v>0</v>
      </c>
      <c r="AF96" s="269">
        <f>SUM(AF91:AF95)</f>
        <v>0</v>
      </c>
      <c r="AG96" s="269">
        <f>SUM(AG91:AG95)</f>
        <v>0</v>
      </c>
      <c r="AH96" s="270">
        <f>$AC96*INDEX(BW_ELE_1_8H,1)</f>
        <v>0</v>
      </c>
      <c r="AI96" s="269">
        <f>$AC96*INDEX(BW_ELE_1_8H,2)</f>
        <v>0</v>
      </c>
      <c r="AJ96" s="269">
        <f>$AC96*INDEX(BW_ELE_1_8H,3)</f>
        <v>0</v>
      </c>
      <c r="AK96" s="269">
        <f>$AC96*INDEX(BW_ELE_1_8H,4)</f>
        <v>0</v>
      </c>
      <c r="AL96" s="270">
        <f>$AD96*INDEX(BW_ELE_9_11H,1)</f>
        <v>0</v>
      </c>
      <c r="AM96" s="269">
        <f>$AD96*INDEX(BW_ELE_9_11H,2)</f>
        <v>0</v>
      </c>
      <c r="AN96" s="269">
        <f>$AD96*INDEX(BW_ELE_9_11H,3)</f>
        <v>0</v>
      </c>
      <c r="AO96" s="269">
        <f>$AD96*INDEX(BW_ELE_9_11H,4)</f>
        <v>0</v>
      </c>
      <c r="AP96" s="270">
        <f>$AE96*INDEX(BW_ENSEIGN,1)</f>
        <v>0</v>
      </c>
      <c r="AQ96" s="270">
        <f>$AE96*INDEX(BW_ENSEIGN,2)</f>
        <v>0</v>
      </c>
      <c r="AR96" s="270">
        <f>$AE96*INDEX(BW_ENSEIGN,3)</f>
        <v>0</v>
      </c>
      <c r="AS96" s="270">
        <f>$AE96*INDEX(BW_ENSEIGN,4)</f>
        <v>0</v>
      </c>
      <c r="AT96" s="270">
        <f>$AF96*INDEX(BW_SALLE_INFO,1)</f>
        <v>0</v>
      </c>
      <c r="AU96" s="269">
        <f>$AF96*INDEX(BW_SALLE_INFO,2)</f>
        <v>0</v>
      </c>
      <c r="AV96" s="269">
        <f>$AF96*INDEX(BW_SALLE_INFO,3)</f>
        <v>0</v>
      </c>
      <c r="AW96" s="269">
        <f>$AF96*INDEX(BW_SALLE_INFO,4)</f>
        <v>0</v>
      </c>
      <c r="AX96" s="270">
        <f>$AG96*INDEX(BW_AUTRES,1)</f>
        <v>0</v>
      </c>
      <c r="AY96" s="269">
        <f>$AG96*INDEX(BW_AUTRES,2)</f>
        <v>0</v>
      </c>
      <c r="AZ96" s="269">
        <f>$AG96*INDEX(BW_AUTRES,3)</f>
        <v>0</v>
      </c>
      <c r="BA96" s="269">
        <f>$AG96*INDEX(BW_AUTRES,4)</f>
        <v>0</v>
      </c>
      <c r="BB96" s="270">
        <f>AH96+AL96+AP96+AT96+AX96</f>
        <v>0</v>
      </c>
      <c r="BC96" s="271">
        <f>AJ96+AN96+AR96+AV96+AZ96</f>
        <v>0</v>
      </c>
      <c r="BD96" s="270">
        <f t="shared" ref="BD96" si="47">AI96+AM96+AQ96+AU96+AY96</f>
        <v>0</v>
      </c>
      <c r="BE96" s="271">
        <f>AK96+AO96+AS96+AW96+BA96</f>
        <v>0</v>
      </c>
      <c r="BF96" s="269">
        <f>IF(SUM($AC96:$AG96)&gt;0,BB96/SUM($AC96:$AG96),0)</f>
        <v>0</v>
      </c>
      <c r="BG96" s="269">
        <f>IF(SUM($AC96:$AG96)&gt;0,BD96/SUM($AC96:$AG96),0)</f>
        <v>0</v>
      </c>
    </row>
    <row r="97" spans="1:61" ht="17" thickBot="1" x14ac:dyDescent="0.25">
      <c r="A97" s="4"/>
      <c r="B97" s="387" t="s">
        <v>122</v>
      </c>
      <c r="C97" s="388"/>
      <c r="D97" s="388"/>
      <c r="E97" s="388"/>
      <c r="F97" s="388"/>
      <c r="G97" s="389"/>
      <c r="H97" s="259"/>
      <c r="I97" s="113" t="s">
        <v>68</v>
      </c>
      <c r="J97" s="259"/>
      <c r="K97" s="259"/>
      <c r="L97" s="259"/>
      <c r="M97" s="259"/>
      <c r="N97" s="259"/>
      <c r="O97" s="259"/>
      <c r="P97" s="259"/>
      <c r="Q97" s="259"/>
      <c r="R97" s="4"/>
      <c r="T97" s="252"/>
      <c r="Y97" s="269"/>
      <c r="Z97" s="269">
        <f>SUM(Z91:Z96)</f>
        <v>0</v>
      </c>
      <c r="AA97" s="269"/>
    </row>
    <row r="98" spans="1:61" ht="16" customHeight="1" x14ac:dyDescent="0.2">
      <c r="A98" s="4"/>
      <c r="B98" s="400" t="s">
        <v>123</v>
      </c>
      <c r="C98" s="401"/>
      <c r="D98" s="402"/>
      <c r="E98" s="272" t="str">
        <f>IF(AM85&gt;0,AM85,"&gt; Geb. "&amp;AC87)</f>
        <v>&gt; Geb. 1</v>
      </c>
      <c r="F98" s="403" t="s">
        <v>124</v>
      </c>
      <c r="G98" s="404"/>
      <c r="H98" s="259"/>
      <c r="I98" s="392" t="s">
        <v>125</v>
      </c>
      <c r="J98" s="393"/>
      <c r="K98" s="394"/>
      <c r="L98" s="273">
        <f>Z97</f>
        <v>0</v>
      </c>
      <c r="M98" s="259"/>
      <c r="N98" s="4"/>
      <c r="O98" s="4"/>
      <c r="P98" s="4"/>
      <c r="Q98" s="4"/>
      <c r="R98" s="4"/>
      <c r="T98" s="252"/>
      <c r="Z98">
        <f>COUNTIF(Z91:Z96,"&gt;0")</f>
        <v>0</v>
      </c>
    </row>
    <row r="99" spans="1:61" ht="16" customHeight="1" x14ac:dyDescent="0.2">
      <c r="A99" s="4"/>
      <c r="B99" s="405" t="s">
        <v>126</v>
      </c>
      <c r="C99" s="406"/>
      <c r="D99" s="407"/>
      <c r="E99" s="274" t="str">
        <f>IF(AM87&gt;0,AM87,"&gt; Geb. "&amp;AC87)</f>
        <v>&gt; Geb. 1</v>
      </c>
      <c r="F99" s="408" t="str">
        <f>IF(AG85&gt;0,"1 ","") &amp; IF(AH85&gt;0,"2 ","") &amp; IF(AI85&gt;0,"3 ","") &amp; IF(AJ85&gt;0,"4 ","") &amp; IF(AK85&gt;0,"5","")</f>
        <v/>
      </c>
      <c r="G99" s="409"/>
      <c r="H99" s="259"/>
      <c r="I99" s="395" t="s">
        <v>127</v>
      </c>
      <c r="J99" s="396"/>
      <c r="K99" s="397"/>
      <c r="L99" s="275">
        <f>Z98</f>
        <v>0</v>
      </c>
      <c r="M99" s="259"/>
      <c r="N99" s="4"/>
      <c r="O99" s="4"/>
      <c r="P99" s="4"/>
      <c r="Q99" s="4"/>
      <c r="R99" s="4"/>
      <c r="T99" s="252"/>
    </row>
    <row r="100" spans="1:61" x14ac:dyDescent="0.2">
      <c r="A100" s="4"/>
      <c r="B100" s="4"/>
      <c r="C100" s="4"/>
      <c r="D100" s="4"/>
      <c r="E100" s="4"/>
      <c r="F100" s="4"/>
      <c r="G100" s="4"/>
      <c r="H100" s="4"/>
      <c r="I100" s="4"/>
      <c r="J100" s="4"/>
      <c r="K100" s="4"/>
      <c r="L100" s="4"/>
      <c r="M100" s="4"/>
      <c r="N100" s="4"/>
      <c r="O100" s="4"/>
      <c r="P100" s="4"/>
      <c r="Q100" s="4"/>
      <c r="R100" s="4"/>
      <c r="U100" s="4"/>
      <c r="V100" s="4"/>
      <c r="W100" s="4"/>
      <c r="X100" s="4"/>
      <c r="Y100" s="4"/>
      <c r="Z100" s="4"/>
      <c r="AA100" s="4"/>
      <c r="AB100" s="4"/>
      <c r="AC100" s="4"/>
      <c r="AD100" s="4"/>
      <c r="AE100" s="4"/>
      <c r="AF100" s="278"/>
      <c r="AG100" s="41"/>
      <c r="AH100" s="41"/>
      <c r="AI100" s="41"/>
      <c r="AJ100" s="41"/>
      <c r="AK100" s="41"/>
      <c r="AL100" s="41"/>
      <c r="AM100" s="41"/>
      <c r="AN100" s="4"/>
      <c r="AO100" s="4"/>
      <c r="AP100" s="4"/>
      <c r="AQ100" s="4"/>
      <c r="AR100" s="4"/>
      <c r="AS100" s="4"/>
      <c r="AT100" s="4"/>
      <c r="AU100" s="4"/>
      <c r="AV100" s="4"/>
      <c r="AW100" s="4"/>
      <c r="AX100" s="4"/>
      <c r="AY100" s="4"/>
      <c r="AZ100" s="4"/>
      <c r="BA100" s="4"/>
      <c r="BB100" s="4"/>
      <c r="BC100" s="4"/>
      <c r="BD100" s="4"/>
      <c r="BE100" s="4"/>
      <c r="BF100" s="4"/>
      <c r="BG100" s="4"/>
      <c r="BH100" s="300"/>
      <c r="BI100" s="300"/>
    </row>
    <row r="101" spans="1:61" x14ac:dyDescent="0.2">
      <c r="A101" s="4"/>
      <c r="B101" s="4"/>
      <c r="C101" s="4"/>
      <c r="D101" s="4"/>
      <c r="E101" s="4"/>
      <c r="F101" s="4"/>
      <c r="G101" s="4"/>
      <c r="H101" s="4"/>
      <c r="I101" s="4"/>
      <c r="J101" s="4"/>
      <c r="K101" s="4"/>
      <c r="L101" s="4"/>
      <c r="M101" s="4"/>
      <c r="N101" s="4"/>
      <c r="O101" s="4"/>
      <c r="P101" s="4"/>
      <c r="Q101" s="4"/>
      <c r="R101" s="4"/>
      <c r="AF101" s="241"/>
      <c r="AG101" s="242">
        <f>IF(AND(AC102=AC104,$AC$36=$AC102),1,0)</f>
        <v>0</v>
      </c>
      <c r="AH101" s="242">
        <f>IF(AND(AC102=AC104,$AC$53=$AC102),2,0)</f>
        <v>0</v>
      </c>
      <c r="AI101" s="242">
        <f>IF(AND(AC102=AC104,$AC$70=$AC102),3,0)</f>
        <v>0</v>
      </c>
      <c r="AJ101" s="242">
        <f>IF(AND(AC102=AC104,$AC$87=$AC102),4,0)</f>
        <v>0</v>
      </c>
      <c r="AK101" s="242">
        <f>IF(AND(AC102=AC104,$AC$104=$AC102),5,0)</f>
        <v>0</v>
      </c>
      <c r="AL101" s="242" t="s">
        <v>52</v>
      </c>
      <c r="AM101" s="243" t="s">
        <v>53</v>
      </c>
      <c r="BI101" s="300"/>
    </row>
    <row r="102" spans="1:61" ht="19" x14ac:dyDescent="0.25">
      <c r="A102" s="4"/>
      <c r="B102" s="276" t="s">
        <v>139</v>
      </c>
      <c r="C102" s="4"/>
      <c r="D102" s="244" t="s">
        <v>55</v>
      </c>
      <c r="E102" s="421"/>
      <c r="F102" s="422"/>
      <c r="G102" s="4"/>
      <c r="H102" s="4"/>
      <c r="I102" s="4"/>
      <c r="J102" s="4"/>
      <c r="K102" s="4"/>
      <c r="L102" s="4"/>
      <c r="M102" s="4"/>
      <c r="N102" s="4"/>
      <c r="O102" s="4"/>
      <c r="P102" s="4"/>
      <c r="Q102" s="4"/>
      <c r="R102" s="4"/>
      <c r="AC102">
        <f>VALUE(RIGHT(B102,1))</f>
        <v>5</v>
      </c>
      <c r="AF102" s="245" t="s">
        <v>56</v>
      </c>
      <c r="AG102">
        <f>IF(AG101&gt;0,$BB$45,0)</f>
        <v>0</v>
      </c>
      <c r="AH102">
        <f>IF(AH101&gt;0,$BB$62,0)</f>
        <v>0</v>
      </c>
      <c r="AI102">
        <f>IF(AI101&gt;0,$BB$79,0)</f>
        <v>0</v>
      </c>
      <c r="AJ102">
        <f>IF(AJ101&gt;0,$BB$96,0)</f>
        <v>0</v>
      </c>
      <c r="AK102">
        <f>IF(AK101&gt;0,$BB$113,0)</f>
        <v>0</v>
      </c>
      <c r="AL102">
        <f>SUM(AG102:AK102)</f>
        <v>0</v>
      </c>
      <c r="AM102" s="246">
        <f>ROUND(AL102/10,0)*10</f>
        <v>0</v>
      </c>
      <c r="BI102" s="300"/>
    </row>
    <row r="103" spans="1:61" x14ac:dyDescent="0.2">
      <c r="A103" s="4"/>
      <c r="B103" s="4"/>
      <c r="C103" s="4"/>
      <c r="D103" s="244" t="s">
        <v>129</v>
      </c>
      <c r="E103" s="418" t="s">
        <v>130</v>
      </c>
      <c r="F103" s="419"/>
      <c r="G103" s="4"/>
      <c r="H103" s="4"/>
      <c r="I103" s="4"/>
      <c r="J103" s="4"/>
      <c r="K103" s="4"/>
      <c r="L103" s="4"/>
      <c r="M103" s="4"/>
      <c r="N103" s="4"/>
      <c r="O103" s="4"/>
      <c r="P103" s="4"/>
      <c r="Q103" s="4"/>
      <c r="R103" s="4"/>
      <c r="AF103" s="245" t="s">
        <v>59</v>
      </c>
      <c r="AG103">
        <f>IF(AG102&gt;0,$BC$45,0)</f>
        <v>0</v>
      </c>
      <c r="AH103">
        <f>IF(AH102&gt;0,$BC$62,0)</f>
        <v>0</v>
      </c>
      <c r="AI103">
        <f>IF(AI102&gt;0,$BC$79,0)</f>
        <v>0</v>
      </c>
      <c r="AJ103">
        <f>IF(AJ102&gt;0,$BC$96,0)</f>
        <v>0</v>
      </c>
      <c r="AK103">
        <f>IF(AK102&gt;0,$BC$113,0)</f>
        <v>0</v>
      </c>
      <c r="AL103">
        <f t="shared" ref="AL103:AL105" si="48">SUM(AG103:AK103)</f>
        <v>0</v>
      </c>
      <c r="AM103" s="246">
        <f>ROUNDUP(AL103/10,0)*10</f>
        <v>0</v>
      </c>
      <c r="BI103" s="300"/>
    </row>
    <row r="104" spans="1:61" x14ac:dyDescent="0.2">
      <c r="A104" s="4"/>
      <c r="B104" s="4"/>
      <c r="C104" s="4"/>
      <c r="D104" s="244" t="s">
        <v>60</v>
      </c>
      <c r="E104" s="390" t="s">
        <v>61</v>
      </c>
      <c r="F104" s="391"/>
      <c r="G104" s="277" t="str">
        <f ca="1">IF(AE104=1,"       Das angegebene Gebäude hat keinen Internetanschluss!","")</f>
        <v/>
      </c>
      <c r="H104" s="277"/>
      <c r="I104" s="4"/>
      <c r="J104" s="4"/>
      <c r="K104" s="4"/>
      <c r="L104" s="4"/>
      <c r="M104" s="4"/>
      <c r="N104" s="4"/>
      <c r="O104" s="4"/>
      <c r="P104" s="4"/>
      <c r="Q104" s="4"/>
      <c r="R104" s="4"/>
      <c r="AC104">
        <f>IF(OR(E103="non",E103="nein"),VALUE(RIGHT(E104,1)),VALUE(RIGHT(B102,1)))</f>
        <v>1</v>
      </c>
      <c r="AD104" t="str">
        <f>ADDRESS((AC104-1)*pas_vertical+ROW(E$36),COLUMN(AC104))</f>
        <v>$AC$36</v>
      </c>
      <c r="AE104" cm="1">
        <f t="array" aca="1" ref="AE104" ca="1">IF(AC104&lt;&gt;INDIRECT(ADDRESS((AC104-1)*17+ROW(E$36),COLUMN(AC104))),1,0)</f>
        <v>0</v>
      </c>
      <c r="AF104" s="245" t="s">
        <v>62</v>
      </c>
      <c r="AG104">
        <f>IF(AG103&gt;0,$BD$45,0)</f>
        <v>0</v>
      </c>
      <c r="AH104">
        <f>IF(AH103&gt;0,$BD$62,0)</f>
        <v>0</v>
      </c>
      <c r="AI104">
        <f>IF(AI103&gt;0,$BD$79,0)</f>
        <v>0</v>
      </c>
      <c r="AJ104">
        <f>IF(AJ103&gt;0,$BD$96,0)</f>
        <v>0</v>
      </c>
      <c r="AK104">
        <f>IF(AK103&gt;0,$BD$113,0)</f>
        <v>0</v>
      </c>
      <c r="AL104">
        <f t="shared" si="48"/>
        <v>0</v>
      </c>
      <c r="AM104" s="246">
        <f t="shared" ref="AM104" si="49">ROUND(AL104/10,0)*10</f>
        <v>0</v>
      </c>
      <c r="BI104" s="300"/>
    </row>
    <row r="105" spans="1:61" x14ac:dyDescent="0.2">
      <c r="A105" s="4"/>
      <c r="B105" s="4"/>
      <c r="C105" s="4"/>
      <c r="D105" s="103"/>
      <c r="E105" s="4"/>
      <c r="F105" s="4"/>
      <c r="G105" s="4"/>
      <c r="H105" s="4"/>
      <c r="I105" s="4"/>
      <c r="J105" s="4"/>
      <c r="K105" s="4"/>
      <c r="L105" s="4"/>
      <c r="M105" s="4"/>
      <c r="N105" s="4"/>
      <c r="O105" s="4"/>
      <c r="P105" s="4"/>
      <c r="Q105" s="4"/>
      <c r="R105" s="4"/>
      <c r="T105" s="17" t="s">
        <v>63</v>
      </c>
      <c r="AF105" s="248" t="s">
        <v>64</v>
      </c>
      <c r="AG105" s="249">
        <f>IF(AG104&gt;0,$BE$45,0)</f>
        <v>0</v>
      </c>
      <c r="AH105" s="249">
        <f>IF(AH104&gt;0,$BE$62,0)</f>
        <v>0</v>
      </c>
      <c r="AI105" s="249">
        <f>IF(AI104&gt;0,$BE$79,0)</f>
        <v>0</v>
      </c>
      <c r="AJ105" s="249">
        <f>IF(AJ104&gt;0,$BE$96,0)</f>
        <v>0</v>
      </c>
      <c r="AK105" s="249">
        <f>IF(AK104&gt;0,$BE$113,0)</f>
        <v>0</v>
      </c>
      <c r="AL105" s="249">
        <f t="shared" si="48"/>
        <v>0</v>
      </c>
      <c r="AM105" s="250">
        <f>ROUNDUP(AL105/10,0)*10</f>
        <v>0</v>
      </c>
      <c r="BI105" s="300"/>
    </row>
    <row r="106" spans="1:61" ht="28" customHeight="1" x14ac:dyDescent="0.2">
      <c r="A106" s="4"/>
      <c r="B106" s="238"/>
      <c r="C106" s="387" t="s">
        <v>65</v>
      </c>
      <c r="D106" s="388"/>
      <c r="E106" s="388"/>
      <c r="F106" s="388"/>
      <c r="G106" s="389"/>
      <c r="H106" s="398" t="s">
        <v>66</v>
      </c>
      <c r="I106" s="387" t="s">
        <v>67</v>
      </c>
      <c r="J106" s="389"/>
      <c r="K106" s="387" t="s">
        <v>68</v>
      </c>
      <c r="L106" s="389"/>
      <c r="M106" s="251"/>
      <c r="N106" s="387" t="s">
        <v>69</v>
      </c>
      <c r="O106" s="388"/>
      <c r="P106" s="388"/>
      <c r="Q106" s="389"/>
      <c r="R106" s="4"/>
      <c r="T106" s="252" t="s">
        <v>70</v>
      </c>
      <c r="U106" s="240" t="s">
        <v>71</v>
      </c>
      <c r="Y106" s="240" t="s">
        <v>72</v>
      </c>
      <c r="Z106" s="240"/>
      <c r="AA106" s="240"/>
      <c r="BI106" s="300"/>
    </row>
    <row r="107" spans="1:61" ht="64" x14ac:dyDescent="0.2">
      <c r="A107" s="4"/>
      <c r="B107" s="238"/>
      <c r="C107" s="113" t="s">
        <v>20</v>
      </c>
      <c r="D107" s="113" t="s">
        <v>21</v>
      </c>
      <c r="E107" s="113" t="s">
        <v>22</v>
      </c>
      <c r="F107" s="113" t="s">
        <v>23</v>
      </c>
      <c r="G107" s="113" t="s">
        <v>24</v>
      </c>
      <c r="H107" s="399"/>
      <c r="I107" s="113" t="s">
        <v>73</v>
      </c>
      <c r="J107" s="113" t="s">
        <v>74</v>
      </c>
      <c r="K107" s="113" t="s">
        <v>75</v>
      </c>
      <c r="L107" s="113" t="s">
        <v>76</v>
      </c>
      <c r="M107" s="253"/>
      <c r="N107" s="113" t="s">
        <v>35</v>
      </c>
      <c r="O107" s="113" t="s">
        <v>77</v>
      </c>
      <c r="P107" s="113" t="s">
        <v>78</v>
      </c>
      <c r="Q107" s="113" t="s">
        <v>79</v>
      </c>
      <c r="R107" s="4"/>
      <c r="T107" s="252"/>
      <c r="U107" s="254" t="s">
        <v>80</v>
      </c>
      <c r="V107" s="254" t="s">
        <v>81</v>
      </c>
      <c r="W107" s="254" t="s">
        <v>82</v>
      </c>
      <c r="Y107" s="254" t="s">
        <v>83</v>
      </c>
      <c r="Z107" s="254" t="s">
        <v>84</v>
      </c>
      <c r="AA107" s="254" t="s">
        <v>85</v>
      </c>
      <c r="AC107" s="254" t="s">
        <v>86</v>
      </c>
      <c r="AD107" s="254" t="s">
        <v>87</v>
      </c>
      <c r="AE107" s="254" t="s">
        <v>88</v>
      </c>
      <c r="AF107" s="254" t="s">
        <v>132</v>
      </c>
      <c r="AG107" s="254" t="s">
        <v>90</v>
      </c>
      <c r="AH107" s="255" t="s">
        <v>91</v>
      </c>
      <c r="AI107" s="254" t="s">
        <v>92</v>
      </c>
      <c r="AJ107" s="254" t="s">
        <v>93</v>
      </c>
      <c r="AK107" s="254" t="s">
        <v>94</v>
      </c>
      <c r="AL107" s="255" t="s">
        <v>95</v>
      </c>
      <c r="AM107" s="254" t="s">
        <v>96</v>
      </c>
      <c r="AN107" s="254" t="s">
        <v>97</v>
      </c>
      <c r="AO107" s="254" t="s">
        <v>98</v>
      </c>
      <c r="AP107" s="255" t="s">
        <v>99</v>
      </c>
      <c r="AQ107" s="254" t="s">
        <v>100</v>
      </c>
      <c r="AR107" s="254" t="s">
        <v>101</v>
      </c>
      <c r="AS107" s="254" t="s">
        <v>102</v>
      </c>
      <c r="AT107" s="255" t="s">
        <v>103</v>
      </c>
      <c r="AU107" s="254" t="s">
        <v>104</v>
      </c>
      <c r="AV107" s="254" t="s">
        <v>105</v>
      </c>
      <c r="AW107" s="254" t="s">
        <v>106</v>
      </c>
      <c r="AX107" s="255" t="s">
        <v>107</v>
      </c>
      <c r="AY107" s="254" t="s">
        <v>108</v>
      </c>
      <c r="AZ107" s="254" t="s">
        <v>109</v>
      </c>
      <c r="BA107" s="254" t="s">
        <v>110</v>
      </c>
      <c r="BB107" s="256" t="s">
        <v>111</v>
      </c>
      <c r="BC107" s="256" t="s">
        <v>112</v>
      </c>
      <c r="BD107" s="256" t="s">
        <v>113</v>
      </c>
      <c r="BE107" s="256" t="s">
        <v>114</v>
      </c>
      <c r="BF107" s="254" t="s">
        <v>115</v>
      </c>
      <c r="BG107" s="254" t="s">
        <v>116</v>
      </c>
      <c r="BI107" s="300"/>
    </row>
    <row r="108" spans="1:61" ht="16" x14ac:dyDescent="0.2">
      <c r="A108" s="4"/>
      <c r="B108" s="257" t="s">
        <v>133</v>
      </c>
      <c r="C108" s="88"/>
      <c r="D108" s="89"/>
      <c r="E108" s="89"/>
      <c r="F108" s="89"/>
      <c r="G108" s="89"/>
      <c r="H108" s="55"/>
      <c r="I108" s="56"/>
      <c r="J108" s="56"/>
      <c r="K108" s="258">
        <f>SUM(C108:G108)+H108+(J108&gt;0)</f>
        <v>0</v>
      </c>
      <c r="L108" s="258">
        <f>3*(SUM(C108:G108)+H108)+I108+1*(J108&gt;0)</f>
        <v>0</v>
      </c>
      <c r="M108" s="259"/>
      <c r="N108" s="347"/>
      <c r="O108" s="348"/>
      <c r="P108" s="349"/>
      <c r="Q108" s="260">
        <f>O108-P108</f>
        <v>0</v>
      </c>
      <c r="R108" s="4"/>
      <c r="T108" s="252">
        <f ca="1">C108*Dotation_Déterm_1_2H+D108*Dotation_Déterm_3_4H+ROUNDUP(E108*ElevePClasse_5_6H/Dotation_Déterm_5_6H,0)+ROUNDUP(F108*ElevePClasse_7_8H/Dotation_Déterm_7_8H,0)+ROUNDUP(G108*ElevePClasse_9_11H/Dotation_Déterm_9_11H,0)</f>
        <v>0</v>
      </c>
      <c r="U108">
        <f>IF(ISTEXT(N108),VLOOKUP(N108,Syst_Rang,2,0),0)</f>
        <v>0</v>
      </c>
      <c r="V108">
        <f>U108*O108</f>
        <v>0</v>
      </c>
      <c r="W108">
        <f t="shared" ref="W108" si="50">U108*Q108</f>
        <v>0</v>
      </c>
      <c r="Y108">
        <f>L108+AA109</f>
        <v>0</v>
      </c>
      <c r="Z108">
        <f>IF(Y108&gt;22,ROUNDUP(Y108/22,0),0)</f>
        <v>0</v>
      </c>
      <c r="AA108">
        <f t="shared" ref="AA108:AA111" si="51">IF(Z108=0,Y108,0)</f>
        <v>0</v>
      </c>
      <c r="AC108">
        <f>C108*Dotation_Déterm_1_2H+D108*Dotation_Déterm_3_4H+ROUNDUP(E108*Max_ElevePClasse_5_6H/Dotation_Déterm_5_6H,0)+ROUNDUP(F108*Max_ElevePClasse_7_8H/Dotation_Déterm_7_8H,0)</f>
        <v>0</v>
      </c>
      <c r="AD108">
        <f>ROUNDUP(G108*Moy_ElevePClasse_9_11H/Dotation_Déterm_9_12H,0)</f>
        <v>0</v>
      </c>
      <c r="AE108" s="261">
        <f>SUM(C108:G108)</f>
        <v>0</v>
      </c>
      <c r="AF108" s="261">
        <f>H108</f>
        <v>0</v>
      </c>
      <c r="AG108">
        <f>$I108</f>
        <v>0</v>
      </c>
      <c r="AH108" s="245"/>
      <c r="AL108" s="245"/>
      <c r="AP108" s="245"/>
      <c r="AT108" s="245"/>
      <c r="AX108" s="245"/>
      <c r="BB108" s="245"/>
      <c r="BI108" s="300"/>
    </row>
    <row r="109" spans="1:61" ht="16" x14ac:dyDescent="0.2">
      <c r="A109" s="4"/>
      <c r="B109" s="262" t="s">
        <v>134</v>
      </c>
      <c r="C109" s="88"/>
      <c r="D109" s="89"/>
      <c r="E109" s="89"/>
      <c r="F109" s="89"/>
      <c r="G109" s="89"/>
      <c r="H109" s="55"/>
      <c r="I109" s="56"/>
      <c r="J109" s="56"/>
      <c r="K109" s="258">
        <f>SUM(C109:G109)+H109+(J109&gt;0)</f>
        <v>0</v>
      </c>
      <c r="L109" s="258">
        <f>3*(SUM(C109:G109)+H109)+I109+1*(J109&gt;0)</f>
        <v>0</v>
      </c>
      <c r="M109" s="259"/>
      <c r="N109" s="350"/>
      <c r="O109" s="351"/>
      <c r="P109" s="352"/>
      <c r="Q109" s="258">
        <f t="shared" ref="Q109:Q112" si="52">O109-P109</f>
        <v>0</v>
      </c>
      <c r="R109" s="4"/>
      <c r="T109" s="252">
        <f ca="1">C109*Dotation_Déterm_1_2H+D109*Dotation_Déterm_3_4H+ROUNDUP(E109*ElevePClasse_5_6H/Dotation_Déterm_5_6H,0)+ROUNDUP(F109*ElevePClasse_7_8H/Dotation_Déterm_7_8H,0)+ROUNDUP(G109*ElevePClasse_9_11H/Dotation_Déterm_9_11H,0)</f>
        <v>0</v>
      </c>
      <c r="U109">
        <f>IF(ISTEXT(N109),VLOOKUP(N109,Syst_Rang,2,0),0)</f>
        <v>0</v>
      </c>
      <c r="V109">
        <f t="shared" ref="V109:V112" si="53">U109*O109</f>
        <v>0</v>
      </c>
      <c r="W109">
        <f>U109*Q109</f>
        <v>0</v>
      </c>
      <c r="Y109">
        <f>L109+AA110</f>
        <v>0</v>
      </c>
      <c r="Z109">
        <f>IF(Y109+L108&gt;22,ROUNDUP(Y109/22,0),0)</f>
        <v>0</v>
      </c>
      <c r="AA109">
        <f t="shared" si="51"/>
        <v>0</v>
      </c>
      <c r="AC109">
        <f>C109*Dotation_Déterm_1_2H+D109*Dotation_Déterm_3_4H+ROUNDUP(E109*Max_ElevePClasse_5_6H/Dotation_Déterm_5_6H,0)+ROUNDUP(F109*Max_ElevePClasse_7_8H/Dotation_Déterm_7_8H,0)</f>
        <v>0</v>
      </c>
      <c r="AD109">
        <f>ROUNDUP(G109*Moy_ElevePClasse_9_11H/Dotation_Déterm_9_12H,0)</f>
        <v>0</v>
      </c>
      <c r="AE109" s="261">
        <f>SUM(C109:G109)</f>
        <v>0</v>
      </c>
      <c r="AF109" s="261">
        <f>H109</f>
        <v>0</v>
      </c>
      <c r="AG109">
        <f>$I109</f>
        <v>0</v>
      </c>
      <c r="AH109" s="245"/>
      <c r="AL109" s="245"/>
      <c r="AP109" s="245"/>
      <c r="AT109" s="245"/>
      <c r="AX109" s="245"/>
      <c r="BB109" s="245"/>
      <c r="BI109" s="300"/>
    </row>
    <row r="110" spans="1:61" ht="16" x14ac:dyDescent="0.2">
      <c r="A110" s="4"/>
      <c r="B110" s="262" t="s">
        <v>135</v>
      </c>
      <c r="C110" s="88"/>
      <c r="D110" s="89"/>
      <c r="E110" s="89"/>
      <c r="F110" s="89"/>
      <c r="G110" s="89"/>
      <c r="H110" s="55"/>
      <c r="I110" s="56"/>
      <c r="J110" s="56"/>
      <c r="K110" s="258">
        <f>SUM(C110:G110)+H110+(J110&gt;0)</f>
        <v>0</v>
      </c>
      <c r="L110" s="258">
        <f>3*(SUM(C110:G110)+H110)+I110+1*(J110&gt;0)</f>
        <v>0</v>
      </c>
      <c r="M110" s="259"/>
      <c r="N110" s="350"/>
      <c r="O110" s="351"/>
      <c r="P110" s="352"/>
      <c r="Q110" s="258">
        <f t="shared" si="52"/>
        <v>0</v>
      </c>
      <c r="R110" s="4"/>
      <c r="T110" s="252">
        <f ca="1">C110*Dotation_Déterm_1_2H+D110*Dotation_Déterm_3_4H+ROUNDUP(E110*ElevePClasse_5_6H/Dotation_Déterm_5_6H,0)+ROUNDUP(F110*ElevePClasse_7_8H/Dotation_Déterm_7_8H,0)+ROUNDUP(G110*ElevePClasse_9_11H/Dotation_Déterm_9_11H,0)</f>
        <v>0</v>
      </c>
      <c r="U110">
        <f>IF(ISTEXT(N110),VLOOKUP(N110,Syst_Rang,2,0),0)</f>
        <v>0</v>
      </c>
      <c r="V110">
        <f t="shared" si="53"/>
        <v>0</v>
      </c>
      <c r="W110">
        <f t="shared" ref="W110:W112" si="54">U110*Q110</f>
        <v>0</v>
      </c>
      <c r="Y110">
        <f>L110+AA111</f>
        <v>0</v>
      </c>
      <c r="Z110">
        <f>IF(Y110+L109&gt;22,ROUNDUP(Y110/22,0),0)</f>
        <v>0</v>
      </c>
      <c r="AA110">
        <f t="shared" si="51"/>
        <v>0</v>
      </c>
      <c r="AC110">
        <f>C110*Dotation_Déterm_1_2H+D110*Dotation_Déterm_3_4H+ROUNDUP(E110*Max_ElevePClasse_5_6H/Dotation_Déterm_5_6H,0)+ROUNDUP(F110*Max_ElevePClasse_7_8H/Dotation_Déterm_7_8H,0)</f>
        <v>0</v>
      </c>
      <c r="AD110">
        <f>ROUNDUP(G110*Moy_ElevePClasse_9_11H/Dotation_Déterm_9_12H,0)</f>
        <v>0</v>
      </c>
      <c r="AE110" s="261">
        <f>SUM(C110:G110)</f>
        <v>0</v>
      </c>
      <c r="AF110" s="261">
        <f>H110</f>
        <v>0</v>
      </c>
      <c r="AG110">
        <f>$I110</f>
        <v>0</v>
      </c>
      <c r="AH110" s="245"/>
      <c r="AL110" s="245"/>
      <c r="AP110" s="245"/>
      <c r="AT110" s="245"/>
      <c r="AX110" s="245"/>
      <c r="BB110" s="245"/>
      <c r="BI110" s="300"/>
    </row>
    <row r="111" spans="1:61" ht="16" x14ac:dyDescent="0.2">
      <c r="A111" s="4"/>
      <c r="B111" s="262" t="s">
        <v>136</v>
      </c>
      <c r="C111" s="88"/>
      <c r="D111" s="89"/>
      <c r="E111" s="89"/>
      <c r="F111" s="89"/>
      <c r="G111" s="89"/>
      <c r="H111" s="55"/>
      <c r="I111" s="56"/>
      <c r="J111" s="56"/>
      <c r="K111" s="258">
        <f>SUM(C111:G111)+H111+(J111&gt;0)</f>
        <v>0</v>
      </c>
      <c r="L111" s="258">
        <f>3*(SUM(C111:G111)+H111)+I111+1*(J111&gt;0)</f>
        <v>0</v>
      </c>
      <c r="M111" s="259"/>
      <c r="N111" s="350"/>
      <c r="O111" s="351"/>
      <c r="P111" s="352"/>
      <c r="Q111" s="258">
        <f t="shared" si="52"/>
        <v>0</v>
      </c>
      <c r="R111" s="4"/>
      <c r="T111" s="252">
        <f ca="1">C111*Dotation_Déterm_1_2H+D111*Dotation_Déterm_3_4H+ROUNDUP(E111*ElevePClasse_5_6H/Dotation_Déterm_5_6H,0)+ROUNDUP(F111*ElevePClasse_7_8H/Dotation_Déterm_7_8H,0)+ROUNDUP(G111*ElevePClasse_9_11H/Dotation_Déterm_9_11H,0)</f>
        <v>0</v>
      </c>
      <c r="U111">
        <f>IF(ISTEXT(N111),VLOOKUP(N111,Syst_Rang,2,0),0)</f>
        <v>0</v>
      </c>
      <c r="V111">
        <f t="shared" si="53"/>
        <v>0</v>
      </c>
      <c r="W111">
        <f t="shared" si="54"/>
        <v>0</v>
      </c>
      <c r="Y111">
        <f>L111+AA112</f>
        <v>0</v>
      </c>
      <c r="Z111">
        <f>IF(Y111+L110&gt;22,ROUNDUP(Y111/22,0),0)</f>
        <v>0</v>
      </c>
      <c r="AA111">
        <f t="shared" si="51"/>
        <v>0</v>
      </c>
      <c r="AC111">
        <f>C111*Dotation_Déterm_1_2H+D111*Dotation_Déterm_3_4H+ROUNDUP(E111*Max_ElevePClasse_5_6H/Dotation_Déterm_5_6H,0)+ROUNDUP(F111*Max_ElevePClasse_7_8H/Dotation_Déterm_7_8H,0)</f>
        <v>0</v>
      </c>
      <c r="AD111">
        <f>ROUNDUP(G111*Moy_ElevePClasse_9_11H/Dotation_Déterm_9_12H,0)</f>
        <v>0</v>
      </c>
      <c r="AE111" s="261">
        <f>SUM(C111:G111)</f>
        <v>0</v>
      </c>
      <c r="AF111" s="261">
        <f>H111</f>
        <v>0</v>
      </c>
      <c r="AG111">
        <f>$I111</f>
        <v>0</v>
      </c>
      <c r="AH111" s="245"/>
      <c r="AL111" s="245"/>
      <c r="AP111" s="245"/>
      <c r="AT111" s="245"/>
      <c r="AX111" s="245"/>
      <c r="BB111" s="245"/>
      <c r="BI111" s="300"/>
    </row>
    <row r="112" spans="1:61" ht="16" x14ac:dyDescent="0.2">
      <c r="A112" s="4"/>
      <c r="B112" s="263" t="s">
        <v>137</v>
      </c>
      <c r="C112" s="90"/>
      <c r="D112" s="91"/>
      <c r="E112" s="91"/>
      <c r="F112" s="91"/>
      <c r="G112" s="91"/>
      <c r="H112" s="57"/>
      <c r="I112" s="58"/>
      <c r="J112" s="58"/>
      <c r="K112" s="258">
        <f>SUM(C112:G112)+H112+(J112&gt;0)</f>
        <v>0</v>
      </c>
      <c r="L112" s="258">
        <f>3*(SUM(C112:G112)+H112)+I112+1*(J112&gt;0)</f>
        <v>0</v>
      </c>
      <c r="M112" s="259"/>
      <c r="N112" s="353"/>
      <c r="O112" s="354"/>
      <c r="P112" s="355"/>
      <c r="Q112" s="264">
        <f t="shared" si="52"/>
        <v>0</v>
      </c>
      <c r="R112" s="4"/>
      <c r="T112" s="252">
        <f ca="1">C112*Dotation_Déterm_1_2H+D112*Dotation_Déterm_3_4H+ROUNDUP(E112*ElevePClasse_5_6H/Dotation_Déterm_5_6H,0)+ROUNDUP(F112*ElevePClasse_7_8H/Dotation_Déterm_7_8H,0)+ROUNDUP(G112*ElevePClasse_9_11H/Dotation_Déterm_9_11H,0)</f>
        <v>0</v>
      </c>
      <c r="U112">
        <f>IF(ISTEXT(N112),VLOOKUP(N112,Syst_Rang,2,0),0)</f>
        <v>0</v>
      </c>
      <c r="V112">
        <f t="shared" si="53"/>
        <v>0</v>
      </c>
      <c r="W112">
        <f t="shared" si="54"/>
        <v>0</v>
      </c>
      <c r="Y112">
        <f>L112</f>
        <v>0</v>
      </c>
      <c r="Z112">
        <f>IF(Y112+L111&gt;22,ROUNDUP(Y112/22,0),0)</f>
        <v>0</v>
      </c>
      <c r="AA112">
        <f>IF(Z112=0,Y112,0)</f>
        <v>0</v>
      </c>
      <c r="AC112">
        <f>C112*Dotation_Déterm_1_2H+D112*Dotation_Déterm_3_4H+ROUNDUP(E112*Max_ElevePClasse_5_6H/Dotation_Déterm_5_6H,0)+ROUNDUP(F112*Max_ElevePClasse_7_8H/Dotation_Déterm_7_8H,0)</f>
        <v>0</v>
      </c>
      <c r="AD112">
        <f>ROUNDUP(G112*Moy_ElevePClasse_9_11H/Dotation_Déterm_9_12H,0)</f>
        <v>0</v>
      </c>
      <c r="AE112" s="261">
        <f>SUM(C112:G112)</f>
        <v>0</v>
      </c>
      <c r="AF112" s="261">
        <f>H112</f>
        <v>0</v>
      </c>
      <c r="AG112">
        <f>$I112</f>
        <v>0</v>
      </c>
      <c r="AH112" s="245"/>
      <c r="AL112" s="245"/>
      <c r="AP112" s="245"/>
      <c r="AT112" s="245"/>
      <c r="AX112" s="245"/>
      <c r="BB112" s="245"/>
      <c r="BI112" s="300"/>
    </row>
    <row r="113" spans="1:61" ht="16" customHeight="1" thickBot="1" x14ac:dyDescent="0.25">
      <c r="A113" s="4"/>
      <c r="B113" s="265"/>
      <c r="C113" s="266"/>
      <c r="D113" s="266"/>
      <c r="E113" s="266"/>
      <c r="F113" s="266"/>
      <c r="G113" s="266"/>
      <c r="H113" s="266"/>
      <c r="I113" s="266"/>
      <c r="J113" s="267"/>
      <c r="K113" s="239">
        <f>SUM(K108:K112)</f>
        <v>0</v>
      </c>
      <c r="L113" s="239">
        <f>SUM(L108:L112)</f>
        <v>0</v>
      </c>
      <c r="M113" s="268"/>
      <c r="N113" s="259"/>
      <c r="O113" s="303">
        <f>SUM(O108:O112)</f>
        <v>0</v>
      </c>
      <c r="P113" s="303">
        <f>SUM(P108:P112)</f>
        <v>0</v>
      </c>
      <c r="Q113" s="303">
        <f>SUM(Q108:Q112)</f>
        <v>0</v>
      </c>
      <c r="R113" s="4"/>
      <c r="T113" s="252">
        <f>SUM(C113:G113)</f>
        <v>0</v>
      </c>
      <c r="U113" s="269"/>
      <c r="V113" s="269">
        <f t="shared" ref="V113:W113" si="55">SUM(V108:V112)</f>
        <v>0</v>
      </c>
      <c r="W113" s="269">
        <f t="shared" si="55"/>
        <v>0</v>
      </c>
      <c r="Y113">
        <f>AA108</f>
        <v>0</v>
      </c>
      <c r="Z113">
        <f>IF(L113&gt;0,MAX(1,ROUNDUP(Y113/22,0)),0)</f>
        <v>0</v>
      </c>
      <c r="AC113" s="269">
        <f t="shared" ref="AC113" si="56">SUM(AC108:AC112)</f>
        <v>0</v>
      </c>
      <c r="AD113" s="269">
        <f t="shared" ref="AD113" si="57">SUM(AD108:AD112)</f>
        <v>0</v>
      </c>
      <c r="AE113" s="269">
        <f>SUM(AE108:AE112)</f>
        <v>0</v>
      </c>
      <c r="AF113" s="269">
        <f>SUM(AF108:AF112)</f>
        <v>0</v>
      </c>
      <c r="AG113" s="269">
        <f>SUM(AG108:AG112)</f>
        <v>0</v>
      </c>
      <c r="AH113" s="270">
        <f>$AC113*INDEX(BW_ELE_1_8H,1)</f>
        <v>0</v>
      </c>
      <c r="AI113" s="269">
        <f>$AC113*INDEX(BW_ELE_1_8H,2)</f>
        <v>0</v>
      </c>
      <c r="AJ113" s="269">
        <f>$AC113*INDEX(BW_ELE_1_8H,3)</f>
        <v>0</v>
      </c>
      <c r="AK113" s="269">
        <f>$AC113*INDEX(BW_ELE_1_8H,4)</f>
        <v>0</v>
      </c>
      <c r="AL113" s="270">
        <f>$AD113*INDEX(BW_ELE_9_11H,1)</f>
        <v>0</v>
      </c>
      <c r="AM113" s="269">
        <f>$AD113*INDEX(BW_ELE_9_11H,2)</f>
        <v>0</v>
      </c>
      <c r="AN113" s="269">
        <f>$AD113*INDEX(BW_ELE_9_11H,3)</f>
        <v>0</v>
      </c>
      <c r="AO113" s="269">
        <f>$AD113*INDEX(BW_ELE_9_11H,4)</f>
        <v>0</v>
      </c>
      <c r="AP113" s="270">
        <f>$AE113*INDEX(BW_ENSEIGN,1)</f>
        <v>0</v>
      </c>
      <c r="AQ113" s="270">
        <f>$AE113*INDEX(BW_ENSEIGN,2)</f>
        <v>0</v>
      </c>
      <c r="AR113" s="270">
        <f>$AE113*INDEX(BW_ENSEIGN,3)</f>
        <v>0</v>
      </c>
      <c r="AS113" s="270">
        <f>$AE113*INDEX(BW_ENSEIGN,4)</f>
        <v>0</v>
      </c>
      <c r="AT113" s="270">
        <f>$AF113*INDEX(BW_SALLE_INFO,1)</f>
        <v>0</v>
      </c>
      <c r="AU113" s="269">
        <f>$AF113*INDEX(BW_SALLE_INFO,2)</f>
        <v>0</v>
      </c>
      <c r="AV113" s="269">
        <f>$AF113*INDEX(BW_SALLE_INFO,3)</f>
        <v>0</v>
      </c>
      <c r="AW113" s="269">
        <f>$AF113*INDEX(BW_SALLE_INFO,4)</f>
        <v>0</v>
      </c>
      <c r="AX113" s="270">
        <f>$AG113*INDEX(BW_AUTRES,1)</f>
        <v>0</v>
      </c>
      <c r="AY113" s="269">
        <f>$AG113*INDEX(BW_AUTRES,2)</f>
        <v>0</v>
      </c>
      <c r="AZ113" s="269">
        <f>$AG113*INDEX(BW_AUTRES,3)</f>
        <v>0</v>
      </c>
      <c r="BA113" s="269">
        <f>$AG113*INDEX(BW_AUTRES,4)</f>
        <v>0</v>
      </c>
      <c r="BB113" s="270">
        <f>AH113+AL113+AP113+AT113+AX113</f>
        <v>0</v>
      </c>
      <c r="BC113" s="271">
        <f>AJ113+AN113+AR113+AV113+AZ113</f>
        <v>0</v>
      </c>
      <c r="BD113" s="270">
        <f t="shared" ref="BD113" si="58">AI113+AM113+AQ113+AU113+AY113</f>
        <v>0</v>
      </c>
      <c r="BE113" s="271">
        <f>AK113+AO113+AS113+AW113+BA113</f>
        <v>0</v>
      </c>
      <c r="BF113" s="269">
        <f>IF(SUM($AC113:$AG113)&gt;0,BB113/SUM($AC113:$AG113),0)</f>
        <v>0</v>
      </c>
      <c r="BG113" s="269">
        <f>IF(SUM($AC113:$AG113)&gt;0,BD113/SUM($AC113:$AG113),0)</f>
        <v>0</v>
      </c>
      <c r="BI113" s="300"/>
    </row>
    <row r="114" spans="1:61" ht="17" thickBot="1" x14ac:dyDescent="0.25">
      <c r="A114" s="4"/>
      <c r="B114" s="387" t="s">
        <v>122</v>
      </c>
      <c r="C114" s="388"/>
      <c r="D114" s="388"/>
      <c r="E114" s="388"/>
      <c r="F114" s="388"/>
      <c r="G114" s="389"/>
      <c r="H114" s="259"/>
      <c r="I114" s="113" t="s">
        <v>68</v>
      </c>
      <c r="J114" s="259"/>
      <c r="K114" s="259"/>
      <c r="L114" s="259"/>
      <c r="M114" s="259"/>
      <c r="N114" s="259"/>
      <c r="O114" s="259"/>
      <c r="P114" s="259"/>
      <c r="Q114" s="259"/>
      <c r="R114" s="4"/>
      <c r="T114" s="252"/>
      <c r="Y114" s="269"/>
      <c r="Z114" s="269">
        <f>SUM(Z108:Z113)</f>
        <v>0</v>
      </c>
      <c r="AA114" s="269"/>
      <c r="BI114" s="300"/>
    </row>
    <row r="115" spans="1:61" ht="16" customHeight="1" x14ac:dyDescent="0.2">
      <c r="A115" s="4"/>
      <c r="B115" s="400" t="s">
        <v>123</v>
      </c>
      <c r="C115" s="401"/>
      <c r="D115" s="402"/>
      <c r="E115" s="272" t="str">
        <f>IF(AM102&gt;0,AM102,"&gt; Geb. "&amp;AC104)</f>
        <v>&gt; Geb. 1</v>
      </c>
      <c r="F115" s="403" t="s">
        <v>124</v>
      </c>
      <c r="G115" s="404"/>
      <c r="H115" s="259"/>
      <c r="I115" s="392" t="s">
        <v>125</v>
      </c>
      <c r="J115" s="393"/>
      <c r="K115" s="394"/>
      <c r="L115" s="273">
        <f>Z114</f>
        <v>0</v>
      </c>
      <c r="M115" s="259"/>
      <c r="N115" s="4"/>
      <c r="O115" s="4"/>
      <c r="P115" s="4"/>
      <c r="Q115" s="4"/>
      <c r="R115" s="4"/>
      <c r="T115" s="252"/>
      <c r="Z115">
        <f>COUNTIF(Z108:Z113,"&gt;0")</f>
        <v>0</v>
      </c>
      <c r="BI115" s="300"/>
    </row>
    <row r="116" spans="1:61" ht="16" customHeight="1" x14ac:dyDescent="0.2">
      <c r="A116" s="4"/>
      <c r="B116" s="405" t="s">
        <v>126</v>
      </c>
      <c r="C116" s="406"/>
      <c r="D116" s="407"/>
      <c r="E116" s="274" t="str">
        <f>IF(AM104&gt;0,AM104,"&gt; Geb. "&amp;AC104)</f>
        <v>&gt; Geb. 1</v>
      </c>
      <c r="F116" s="408" t="str">
        <f>IF(AG102&gt;0,"1 ","") &amp; IF(AH102&gt;0,"2 ","") &amp; IF(AI102&gt;0,"3 ","") &amp; IF(AJ102&gt;0,"4 ","") &amp; IF(AK102&gt;0,"5","")</f>
        <v/>
      </c>
      <c r="G116" s="409"/>
      <c r="H116" s="259"/>
      <c r="I116" s="395" t="s">
        <v>127</v>
      </c>
      <c r="J116" s="396"/>
      <c r="K116" s="397"/>
      <c r="L116" s="275">
        <f>Z115</f>
        <v>0</v>
      </c>
      <c r="M116" s="259"/>
      <c r="N116" s="4"/>
      <c r="O116" s="4"/>
      <c r="P116" s="4"/>
      <c r="Q116" s="4"/>
      <c r="R116" s="4"/>
      <c r="T116" s="252"/>
      <c r="BI116" s="300"/>
    </row>
    <row r="117" spans="1:61" x14ac:dyDescent="0.2">
      <c r="A117" s="4"/>
      <c r="B117" s="4"/>
      <c r="C117" s="4"/>
      <c r="D117" s="4"/>
      <c r="E117" s="4"/>
      <c r="F117" s="4"/>
      <c r="G117" s="4"/>
      <c r="H117" s="4"/>
      <c r="I117" s="4"/>
      <c r="J117" s="4"/>
      <c r="K117" s="4"/>
      <c r="L117" s="4"/>
      <c r="M117" s="4"/>
      <c r="N117" s="4"/>
      <c r="O117" s="4"/>
      <c r="P117" s="4"/>
      <c r="Q117" s="4"/>
      <c r="R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300"/>
      <c r="BI117" s="300"/>
    </row>
    <row r="118" spans="1:61" ht="33" customHeight="1" x14ac:dyDescent="0.2">
      <c r="A118" s="4"/>
      <c r="B118" s="4"/>
      <c r="C118" s="4"/>
      <c r="D118" s="4"/>
      <c r="E118" s="4"/>
      <c r="F118" s="4"/>
      <c r="G118" s="4"/>
      <c r="H118" s="4"/>
      <c r="I118" s="4"/>
      <c r="J118" s="4"/>
      <c r="K118" s="4"/>
      <c r="L118" s="4"/>
      <c r="M118" s="4"/>
      <c r="N118" s="4"/>
      <c r="O118" s="4"/>
      <c r="P118" s="4"/>
      <c r="Q118" s="4"/>
      <c r="R118" s="4"/>
      <c r="U118" s="240" t="s">
        <v>71</v>
      </c>
      <c r="AF118" s="279"/>
      <c r="AG118" s="280" t="s">
        <v>140</v>
      </c>
      <c r="AH118" s="280" t="s">
        <v>141</v>
      </c>
      <c r="AI118" s="280" t="s">
        <v>142</v>
      </c>
      <c r="AJ118" s="281" t="s">
        <v>143</v>
      </c>
    </row>
    <row r="119" spans="1:61" ht="33" thickBot="1" x14ac:dyDescent="0.25">
      <c r="U119" s="254"/>
      <c r="V119" s="254" t="s">
        <v>144</v>
      </c>
      <c r="W119" s="254" t="s">
        <v>145</v>
      </c>
      <c r="Y119" s="254" t="s">
        <v>146</v>
      </c>
      <c r="Z119" s="254" t="s">
        <v>147</v>
      </c>
      <c r="AA119" s="254" t="s">
        <v>148</v>
      </c>
      <c r="AB119" s="254" t="s">
        <v>149</v>
      </c>
      <c r="AF119" s="282" t="s">
        <v>150</v>
      </c>
      <c r="AG119" s="283">
        <f>SUM(C40:G44,H40:H44)</f>
        <v>0</v>
      </c>
      <c r="AH119" s="284">
        <f>COUNTIF(L40:L44,"&gt;0")</f>
        <v>0</v>
      </c>
      <c r="AI119" s="285" t="str">
        <f>IF(AM34&gt;0,"Oui","Non")</f>
        <v>Non</v>
      </c>
      <c r="AJ119" s="286"/>
    </row>
    <row r="120" spans="1:61" ht="16" thickBot="1" x14ac:dyDescent="0.25">
      <c r="U120" s="287" t="s">
        <v>151</v>
      </c>
      <c r="V120" s="288">
        <f>V45+V62+V79+V96+V113</f>
        <v>0</v>
      </c>
      <c r="W120" s="288">
        <f>W45+W62+W79+W96+W113</f>
        <v>0</v>
      </c>
      <c r="Y120" s="269">
        <f>L45+L62+L79+L96+L113</f>
        <v>0</v>
      </c>
      <c r="Z120" s="269">
        <f>Z46+Z63+Z80+Z97+Z114</f>
        <v>0</v>
      </c>
      <c r="AA120" s="269">
        <f>Z47+Z64+Z81+Z98+Z115</f>
        <v>0</v>
      </c>
      <c r="AB120" s="269">
        <f>K45+K62+K79+K96+K113</f>
        <v>0</v>
      </c>
      <c r="AF120" s="282" t="s">
        <v>152</v>
      </c>
      <c r="AG120" s="283">
        <f>SUM(C57:G61,H57:H61)</f>
        <v>0</v>
      </c>
      <c r="AH120" s="284">
        <f>COUNTIF(L57:L61,"&gt;0")</f>
        <v>0</v>
      </c>
      <c r="AI120" s="285" t="str">
        <f>IF(AM51&gt;0,"Oui","Non")</f>
        <v>Non</v>
      </c>
      <c r="AJ120" s="286"/>
    </row>
    <row r="121" spans="1:61" x14ac:dyDescent="0.2">
      <c r="U121" s="261">
        <f>O45+O62+O79+O96+O113</f>
        <v>0</v>
      </c>
      <c r="V121" s="261">
        <f>Q45+Q62+Q79+Q96+Q113</f>
        <v>0</v>
      </c>
      <c r="W121" s="261">
        <f>P45+P62+P79+P96+P113</f>
        <v>0</v>
      </c>
      <c r="AF121" s="282" t="s">
        <v>153</v>
      </c>
      <c r="AG121" s="283">
        <f>SUM(C74:G78,H74:H78)</f>
        <v>0</v>
      </c>
      <c r="AH121" s="284">
        <f>COUNTIF(L74:L78,"&gt;0")</f>
        <v>0</v>
      </c>
      <c r="AI121" s="285" t="str">
        <f>IF(AM68&gt;0,"Oui","Non")</f>
        <v>Non</v>
      </c>
      <c r="AJ121" s="286"/>
    </row>
    <row r="122" spans="1:61" x14ac:dyDescent="0.2">
      <c r="AF122" s="282" t="s">
        <v>154</v>
      </c>
      <c r="AG122" s="283">
        <f>SUM(C91:G95,H91:H95)</f>
        <v>0</v>
      </c>
      <c r="AH122" s="284">
        <f>COUNTIF(L91:L95,"&gt;0")</f>
        <v>0</v>
      </c>
      <c r="AI122" s="285" t="str">
        <f>IF(AM85&gt;0,"Oui","Non")</f>
        <v>Non</v>
      </c>
      <c r="AJ122" s="286"/>
    </row>
    <row r="123" spans="1:61" x14ac:dyDescent="0.2">
      <c r="AF123" s="289" t="s">
        <v>155</v>
      </c>
      <c r="AG123" s="290">
        <f>SUM(C108:G112,H108:H112)</f>
        <v>0</v>
      </c>
      <c r="AH123" s="291">
        <f>COUNTIF(L108:L112,"&gt;0")</f>
        <v>0</v>
      </c>
      <c r="AI123" s="292" t="str">
        <f>IF(AM102&gt;0,"Oui","Non")</f>
        <v>Non</v>
      </c>
      <c r="AJ123" s="293"/>
    </row>
    <row r="124" spans="1:61" ht="16" thickBot="1" x14ac:dyDescent="0.25">
      <c r="AF124" s="294" t="s">
        <v>52</v>
      </c>
      <c r="AG124" s="295">
        <f>SUM(AG119:AG123)</f>
        <v>0</v>
      </c>
      <c r="AH124" s="296">
        <f>SUM(AH119:AH123)</f>
        <v>0</v>
      </c>
      <c r="AI124" s="297">
        <f>COUNTIF(AI119:AI123,"oui")</f>
        <v>0</v>
      </c>
      <c r="AJ124" s="298">
        <f>COUNTIF(AH119:AH123,"&gt;0")</f>
        <v>0</v>
      </c>
    </row>
  </sheetData>
  <sheetProtection algorithmName="SHA-512" hashValue="qwaqh0omL+rnqsnRcw7taIQ+w5BgmS4icIv2StpQjuucmm96MNCx38IGz6kzwnA6BSQrKcKEZ0yh2x/lNEDNow==" saltValue="6c9uumf+rlD7teCABOZwmA==" spinCount="100000" sheet="1" objects="1" scenarios="1"/>
  <customSheetViews>
    <customSheetView guid="{2F7F83DD-5603-CE40-9872-ABF624ECE237}" scale="90" topLeftCell="A2">
      <selection activeCell="L31" sqref="L31"/>
      <pageMargins left="0" right="0" top="0" bottom="0" header="0" footer="0"/>
      <pageSetup paperSize="9" orientation="portrait" verticalDpi="0" r:id="rId1"/>
    </customSheetView>
    <customSheetView guid="{D932F249-B54E-D54C-B8F4-0256603E93D7}" scale="90" topLeftCell="A2">
      <selection activeCell="L31" sqref="L31"/>
      <pageMargins left="0" right="0" top="0" bottom="0" header="0" footer="0"/>
      <pageSetup paperSize="9" orientation="portrait" verticalDpi="0" r:id="rId2"/>
    </customSheetView>
  </customSheetViews>
  <mergeCells count="102">
    <mergeCell ref="F99:G99"/>
    <mergeCell ref="B114:G114"/>
    <mergeCell ref="B115:D115"/>
    <mergeCell ref="F115:G115"/>
    <mergeCell ref="B116:D116"/>
    <mergeCell ref="F116:G116"/>
    <mergeCell ref="B2:H2"/>
    <mergeCell ref="C4:H4"/>
    <mergeCell ref="F47:G47"/>
    <mergeCell ref="F48:G48"/>
    <mergeCell ref="B47:D47"/>
    <mergeCell ref="B48:D48"/>
    <mergeCell ref="B46:G46"/>
    <mergeCell ref="B63:G63"/>
    <mergeCell ref="B64:D64"/>
    <mergeCell ref="F64:G64"/>
    <mergeCell ref="B65:D65"/>
    <mergeCell ref="F65:G65"/>
    <mergeCell ref="C14:C15"/>
    <mergeCell ref="F16:F17"/>
    <mergeCell ref="G16:G17"/>
    <mergeCell ref="B13:B15"/>
    <mergeCell ref="D14:D15"/>
    <mergeCell ref="E14:E15"/>
    <mergeCell ref="E70:F70"/>
    <mergeCell ref="E69:F69"/>
    <mergeCell ref="E68:F68"/>
    <mergeCell ref="C55:G55"/>
    <mergeCell ref="G18:G19"/>
    <mergeCell ref="N38:Q38"/>
    <mergeCell ref="E35:F35"/>
    <mergeCell ref="C38:G38"/>
    <mergeCell ref="K38:L38"/>
    <mergeCell ref="K55:L55"/>
    <mergeCell ref="I47:K47"/>
    <mergeCell ref="I48:K48"/>
    <mergeCell ref="I64:K64"/>
    <mergeCell ref="I65:K65"/>
    <mergeCell ref="H55:H56"/>
    <mergeCell ref="I55:J55"/>
    <mergeCell ref="N55:Q55"/>
    <mergeCell ref="B28:Q28"/>
    <mergeCell ref="I115:K115"/>
    <mergeCell ref="I116:K116"/>
    <mergeCell ref="B18:B19"/>
    <mergeCell ref="C18:C19"/>
    <mergeCell ref="D18:D19"/>
    <mergeCell ref="E18:E19"/>
    <mergeCell ref="F18:F19"/>
    <mergeCell ref="H89:H90"/>
    <mergeCell ref="I89:J89"/>
    <mergeCell ref="H106:H107"/>
    <mergeCell ref="I106:J106"/>
    <mergeCell ref="E51:F51"/>
    <mergeCell ref="E52:F52"/>
    <mergeCell ref="E53:F53"/>
    <mergeCell ref="I38:J38"/>
    <mergeCell ref="H38:H39"/>
    <mergeCell ref="E102:F102"/>
    <mergeCell ref="E103:F103"/>
    <mergeCell ref="E85:F85"/>
    <mergeCell ref="E86:F86"/>
    <mergeCell ref="E87:F87"/>
    <mergeCell ref="C89:G89"/>
    <mergeCell ref="E36:F36"/>
    <mergeCell ref="E34:F34"/>
    <mergeCell ref="N106:Q106"/>
    <mergeCell ref="C72:G72"/>
    <mergeCell ref="N89:Q89"/>
    <mergeCell ref="N72:Q72"/>
    <mergeCell ref="E104:F104"/>
    <mergeCell ref="C106:G106"/>
    <mergeCell ref="I81:K81"/>
    <mergeCell ref="K89:L89"/>
    <mergeCell ref="K106:L106"/>
    <mergeCell ref="I98:K98"/>
    <mergeCell ref="I99:K99"/>
    <mergeCell ref="I82:K82"/>
    <mergeCell ref="K72:L72"/>
    <mergeCell ref="H72:H73"/>
    <mergeCell ref="I72:J72"/>
    <mergeCell ref="B80:G80"/>
    <mergeCell ref="B81:D81"/>
    <mergeCell ref="F81:G81"/>
    <mergeCell ref="B82:D82"/>
    <mergeCell ref="F82:G82"/>
    <mergeCell ref="B97:G97"/>
    <mergeCell ref="B98:D98"/>
    <mergeCell ref="F98:G98"/>
    <mergeCell ref="B99:D99"/>
    <mergeCell ref="N15:Q16"/>
    <mergeCell ref="N17:N18"/>
    <mergeCell ref="O17:O18"/>
    <mergeCell ref="P17:P18"/>
    <mergeCell ref="Q17:Q18"/>
    <mergeCell ref="B16:B17"/>
    <mergeCell ref="C16:C17"/>
    <mergeCell ref="D16:D17"/>
    <mergeCell ref="E16:E17"/>
    <mergeCell ref="H18:H19"/>
    <mergeCell ref="F14:F15"/>
    <mergeCell ref="G14:G15"/>
  </mergeCells>
  <conditionalFormatting sqref="E36">
    <cfRule type="expression" dxfId="14" priority="50">
      <formula>OR(E35="oui",E35="ja")</formula>
    </cfRule>
  </conditionalFormatting>
  <conditionalFormatting sqref="E53">
    <cfRule type="expression" dxfId="13" priority="1" stopIfTrue="1">
      <formula>OR(E52="oui",E52="ja")</formula>
    </cfRule>
  </conditionalFormatting>
  <conditionalFormatting sqref="E70">
    <cfRule type="expression" dxfId="12" priority="37" stopIfTrue="1">
      <formula>OR(E69="oui",E69="ja")</formula>
    </cfRule>
  </conditionalFormatting>
  <conditionalFormatting sqref="E87">
    <cfRule type="expression" dxfId="11" priority="35" stopIfTrue="1">
      <formula>OR(E86="oui",E86="ja")</formula>
    </cfRule>
  </conditionalFormatting>
  <conditionalFormatting sqref="E104">
    <cfRule type="expression" dxfId="10" priority="33" stopIfTrue="1">
      <formula>OR(E103="oui",E103="ja")</formula>
    </cfRule>
  </conditionalFormatting>
  <conditionalFormatting sqref="E36:F36">
    <cfRule type="expression" dxfId="9" priority="52" stopIfTrue="1">
      <formula>$AE$36=1</formula>
    </cfRule>
  </conditionalFormatting>
  <conditionalFormatting sqref="E53:F53">
    <cfRule type="expression" dxfId="8" priority="2" stopIfTrue="1">
      <formula>$AE$36=1</formula>
    </cfRule>
  </conditionalFormatting>
  <conditionalFormatting sqref="E70:F70">
    <cfRule type="expression" dxfId="7" priority="38" stopIfTrue="1">
      <formula>$AE$36=1</formula>
    </cfRule>
  </conditionalFormatting>
  <conditionalFormatting sqref="E87:F87">
    <cfRule type="expression" dxfId="6" priority="36" stopIfTrue="1">
      <formula>$AE$36=1</formula>
    </cfRule>
  </conditionalFormatting>
  <conditionalFormatting sqref="E104:F104">
    <cfRule type="expression" dxfId="5" priority="34" stopIfTrue="1">
      <formula>$AE$36=1</formula>
    </cfRule>
  </conditionalFormatting>
  <conditionalFormatting sqref="F47:F48">
    <cfRule type="expression" dxfId="4" priority="53">
      <formula>$AM34=0</formula>
    </cfRule>
  </conditionalFormatting>
  <conditionalFormatting sqref="F64:F65">
    <cfRule type="expression" dxfId="3" priority="6">
      <formula>$AM51=0</formula>
    </cfRule>
  </conditionalFormatting>
  <conditionalFormatting sqref="F81:F82">
    <cfRule type="expression" dxfId="2" priority="5">
      <formula>$AM68=0</formula>
    </cfRule>
  </conditionalFormatting>
  <conditionalFormatting sqref="F98:F99">
    <cfRule type="expression" dxfId="1" priority="4">
      <formula>$AM85=0</formula>
    </cfRule>
  </conditionalFormatting>
  <conditionalFormatting sqref="F115:F116">
    <cfRule type="expression" dxfId="0" priority="3">
      <formula>$AM102=0</formula>
    </cfRule>
  </conditionalFormatting>
  <dataValidations xWindow="794" yWindow="875" count="28">
    <dataValidation type="list" allowBlank="1" showInputMessage="1" showErrorMessage="1" sqref="E36 E104 E70 E87 E53" xr:uid="{698AFA76-D0F6-2E40-A605-9E3A8CB0DAF0}">
      <formula1>Intro_Internet</formula1>
    </dataValidation>
    <dataValidation operator="greaterThanOrEqual" showInputMessage="1" showErrorMessage="1" error="Erreur; le nombre de salles ou de bâtiments ou d'étages existants ne peut dépasser le nombre total" sqref="H3 H5 H23:H24 T23:T24 I23:M23 T5:T6 I6:M6" xr:uid="{D86C167D-B1EF-7B44-A1F6-C1324251CFF7}"/>
    <dataValidation type="list" allowBlank="1" showInputMessage="1" showErrorMessage="1" sqref="N40:N44 N57:N61 N74:N78 N91:N95 N108:N112" xr:uid="{AF597F3B-2E7A-B741-B9FB-93165B5FB757}">
      <formula1>Lst_Syst_Rang</formula1>
    </dataValidation>
    <dataValidation type="whole" allowBlank="1" showInputMessage="1" showErrorMessage="1" sqref="O108:Q112 O57:Q61 O74:Q78 O91:Q95 O40:Q44" xr:uid="{4B895BB8-F94B-0C48-9CEB-8492976C6E65}">
      <formula1>0</formula1>
      <formula2>50</formula2>
    </dataValidation>
    <dataValidation type="list" allowBlank="1" showInputMessage="1" showErrorMessage="1" promptTitle="Anschluss des Gebäudes" prompt="Ja: wenn die Internetleitung direkt in dieses Gebäude führt._x000a_Nein: wenn dieses Gebäude über ein anderes Gebäude mit dem Internet verbunden ist." sqref="E35:F35 E52:F52 E69:F69 E86:F86 E103:F103" xr:uid="{C92DCF9C-AE1F-C245-992D-56223D631BFB}">
      <formula1>"ja,nein"</formula1>
    </dataValidation>
    <dataValidation allowBlank="1" showInputMessage="1" showErrorMessage="1" promptTitle="Nom indicatif" sqref="E34:F34" xr:uid="{3EA64E0E-93B1-D642-8B0A-D6298EE47D76}"/>
    <dataValidation allowBlank="1" showInputMessage="1" showErrorMessage="1" promptTitle="Auswahl" prompt="Dotationen entsprechend den Überlegungen und dem pädagogischen Plan der Schule. _x000a_Dürfen nicht unter den Mindestdotationen, Gewährleistung der Chancengleichheit und nicht über den Höchstdotationen, Gewährleistung der Nachhaltigkeit, liegen._x000a_" sqref="B21" xr:uid="{ED369191-92F2-4FC6-B91A-8C2EA3553217}"/>
    <dataValidation allowBlank="1" showInputMessage="1" showErrorMessage="1" promptTitle="Salles spéciales" prompt="Toutes les salles d'enseignement spéciales (musique, sciences...) et les salles d'enseignement de réserve, nécessitant une infrastructure informatique de classe (système de projection, de son...)" sqref="H45 H96 H79 H62 H113" xr:uid="{8CC341D4-17C8-164F-90D4-CA3004EB9CEC}"/>
    <dataValidation allowBlank="1" showInputMessage="1" showErrorMessage="1" promptTitle="Anzahl der Klassen Schüler" prompt="Anzahl der Klassen mit Schülern der 3H und/oder 4H" sqref="D10" xr:uid="{3FAD9444-78B0-408A-89B9-4B072379CAA9}"/>
    <dataValidation allowBlank="1" showInputMessage="1" showErrorMessage="1" promptTitle="Anzahl der Klassen Schüler" prompt="Anzahl der Klassen mit Schülern der Klassen 1H und/oder 2H" sqref="C10" xr:uid="{5272DF59-BCCC-426F-A802-EAFBD78E915D}"/>
    <dataValidation allowBlank="1" showInputMessage="1" showErrorMessage="1" promptTitle="Estimation du nombre de switches" prompt="basée sur un modèle unique intermédiaire à 24 ports par simplification. _x000a_Un switch peut desservir plusieurs étages supérieurs, si leur nombre de connexions ne justifie pas un switch dédié. _x000a_Autres dispositions selon les conditions locales." sqref="T47 L115 T64 L98 T81 L64 T98 L81 T115" xr:uid="{BA6802C1-A47F-764B-8761-BEA878243637}"/>
    <dataValidation allowBlank="1" showInputMessage="1" showErrorMessage="1" promptTitle="Connexion réseau" prompt="Prises réseau, câbles et connexion sur Switches :_x000a_3x par salle de classe et spéciale, _x000a_+ 1x par place et appareil câblé, _x000a_+ 1x pour places et postes WiFi " sqref="T107:T113 T56:T62 T90:T96 T39:T45 T73:T79 M39:M45 M73:M79 M107:M113 M90:M96 M56:M62" xr:uid="{65AFD48D-BF6E-F847-85F0-6BAC068BA24D}"/>
    <dataValidation allowBlank="1" showErrorMessage="1" sqref="B18:H19" xr:uid="{149E92FD-FF2A-2A44-BE69-ACFE2048937E}"/>
    <dataValidation allowBlank="1" showInputMessage="1" showErrorMessage="1" promptTitle="Normale Klassenzimmer" prompt="Sonderfall mehrstufiger Klassen: 1 für die höchste Schulstufe - Ermöglicht eine realistischere Einschätzung des Internetbedarfs._x000a_Beispiel für ein Klassenzimmer mit Schülern der Klassen 4H und 5H: Zählen Sie 1 in der Spalte 5-6H." sqref="C38:G44 C55:G61 C72:G78 C89:G95 C106:G112" xr:uid="{5FC8C401-1592-4620-8135-53A6C81E0B9D}"/>
    <dataValidation allowBlank="1" showInputMessage="1" showErrorMessage="1" promptTitle="Spezielle Unterrichtsräume" prompt="Alle speziellen Unterrichtsräume (Musik, Naturwissenschaften...) und Reserveunterrichtsräume, die eine Klassenzimmer-Computerinfrastruktur (Projektions- und Soundsystem...) erfordern." sqref="H38:H44 H55:H61 H72:H78 H89:H95 H106:H112" xr:uid="{674FF232-7BE8-42D7-A6D6-7FFBEAC6F753}"/>
    <dataValidation allowBlank="1" showInputMessage="1" showErrorMessage="1" promptTitle="Verbindung auss. Klassenz." prompt="Schlüsseln Sie die Anzahl der Arbeitsplätze und Geräte (z.B. Kopierer) auf, die außerhalb der Unterrichtsräume einen Internetzugang benötigen._x000a_Z.B. Sporthallen, Aula, Psychologie- oder Direktionsbüro, Bibliothek, Computerraum,..." sqref="I106:J106 I38:J38 I55:J55 I72:J72 I89:J89" xr:uid="{779A4EB3-CB48-4EF6-9A0F-C836BEDC574A}"/>
    <dataValidation allowBlank="1" showInputMessage="1" showErrorMessage="1" promptTitle="Andere kabelgebundene Geräte" prompt="AUSSERHALB VON KLASSENZIMMERN_x000a_Feste Arbeitsplätze, die eine kabelgebundene Verbindung zum Netzwerk benötigen. Geräte, die über Wifi verbunden werden, sind nicht mitzuzählen. _x000a_Beispiel: Kopierer, Computerraum, Lehrerzimmer, Psychologen, Verwaltung,..." sqref="I39:I44 I56:I61 I73:I78 I90:I95 I107:I112" xr:uid="{12871445-CE29-4FC8-90C1-BF09D1D3FD29}"/>
    <dataValidation allowBlank="1" showInputMessage="1" showErrorMessage="1" promptTitle="Andere Posten nur WLAN" prompt="AUSSERHALB VON KLASSENZIMMERN_x000a_Feste Arbeitsplätze, die eine Internetverbindung benötigen, für die aber ein Wifi-Zugang ausreicht: keine kabelgebundene Netzwerkverbindung erforderlich. _x000a_Beispiel: Sporthalle, Lehrerzimmer, Psychologen, Verwaltung,..." sqref="J39:J44 J56:J61 J73:J78 J90:J95 J107:J112" xr:uid="{5B50AC77-6588-41D9-B386-817588709058}"/>
    <dataValidation allowBlank="1" showInputMessage="1" showErrorMessage="1" promptTitle="WLAN-Zugangspunkte" prompt="1x pro Klassenzimmer und Sonderraum_x000a_+ 1x für WLAN-Stationen und -Plätze (z.B. Lehrerzimmer, Büro...)" sqref="K39:K45 K56:K62 K73:K79 K90:K96 K107:K113" xr:uid="{47897EFF-E6D1-4524-B424-98ED4491B8D8}"/>
    <dataValidation allowBlank="1" showInputMessage="1" showErrorMessage="1" promptTitle="Netzwerkverbindung" prompt="Netzwerkdosen, Kabel und Anschluss an Switches:_x000a_3x pro Klassenzimmer und Spezial, _x000a_+ 1x pro verkabeltem Platz und Gerät, _x000a_+ 1x für WLAN-Plätze und -Stationen" sqref="L39:L45 L56:L62 L73:L79 L90:L96 L107:L113" xr:uid="{A24041D8-45D4-401C-AC8F-58D007A7483D}"/>
    <dataValidation allowBlank="1" showInputMessage="1" showErrorMessage="1" promptTitle="Geschätzte Anzahl von Switches" prompt="basierend auf einem einzigen Modell mit 24 Ports (Zwischengröße) zur Vereinfachung. _x000a_Ein 24-Port-Switch kann eine oder mehrere obere Etagen bedienen, wenn die Anzahl der Verbindungen auf diesen Etagen einen dedizierten Switch nicht rechtfertigt." sqref="I47:L48 I64:K65 I81:K82 I98:K99 I115:K116" xr:uid="{775BCB83-A5B5-4447-8D8F-823F0324522A}"/>
    <dataValidation allowBlank="1" showInputMessage="1" showErrorMessage="1" prompt="Mindestempfehlung für die Ausstattung von Schülern/Schülerinnen in der Regelschule, um die pädagogischen Ziele des Lehrplanes zu erfüllen._x000a_" sqref="C16:G17" xr:uid="{A5BB2DD4-3EF5-4E80-88CD-388140552B89}"/>
    <dataValidation allowBlank="1" showInputMessage="1" showErrorMessage="1" prompt="Die Höchstempfehlung garantieren Nachhaltigkeit. Die Schulen sollen die Höchstempfehlung nicht überschreiten (mit Ausnahmen, die mit den Lehrplänen und Lehrmitteln zusammenhängen)." sqref="B20:G20" xr:uid="{CFD71EAD-E02E-4F13-B6B9-0ACB7FF51B73}"/>
    <dataValidation allowBlank="1" showInputMessage="1" showErrorMessage="1" promptTitle="Massgeblicher Wert" prompt="Der massgebliche Wert entspricht der Wahl der Schule, wobei die Mindestempfehlung als Standardwert angezeigt werden." sqref="B22:G22" xr:uid="{31D8495D-BB42-4D96-BBC6-6E23113AA4B8}"/>
    <dataValidation type="whole" operator="greaterThanOrEqual" allowBlank="1" showInputMessage="1" showErrorMessage="1" prompt="Dotationen entsprechend den Überlegungen und dem pädagogischen Plan der Schule. _x000a_Dürfen nicht unter den Mindestdotation, Gewährleistung der Chancengleichheit und nicht über den Höchstdotation, Gewährleistung der Nachhaltigkeit, liegen._x000a_" sqref="C21" xr:uid="{18971363-4BAC-8846-B125-D48FCB1611A7}">
      <formula1>0</formula1>
    </dataValidation>
    <dataValidation type="whole" operator="greaterThan" allowBlank="1" showInputMessage="1" showErrorMessage="1" prompt="Dotationen entsprechend den Überlegungen und dem pädagogischen Plan der Schule. _x000a_Dürfen nicht unter den Mindestdotation, Gewährleistung der Chancengleichheit und nicht über den Höchstdotation, Gewährleistung der Nachhaltigkeit, liegen." sqref="F21:G21" xr:uid="{B17D1792-C94E-C24F-AF9F-5E819B1D1A64}">
      <formula1>0</formula1>
    </dataValidation>
    <dataValidation allowBlank="1" showInputMessage="1" showErrorMessage="1" prompt="Mindestempfehlung für die Ausstattung von Schülern/Schülerinnen in der Regelschule, um die pädagogischen Ziele des Lehrplanes zu erfüllen." sqref="B16:B17" xr:uid="{3C93A5A9-99BB-8D4C-9132-7346466C380D}"/>
    <dataValidation type="whole" operator="greaterThan" allowBlank="1" showInputMessage="1" showErrorMessage="1" prompt="Dotationen entsprechend den Überlegungen und dem pädagogischen Plan der Schule. _x000a_Dürfen nicht unter den Mindestdotation, Gewährleistung der Chancengleichheit und nicht über den Höchstdotation, Gewährleistung der Nachhaltigkeit, liegen._x000a_" sqref="E21" xr:uid="{472C9D0E-F2CD-E641-AF76-E41580E13CDC}">
      <formula1>0</formula1>
    </dataValidation>
  </dataValidations>
  <printOptions horizontalCentered="1"/>
  <pageMargins left="0.25" right="0.25" top="1" bottom="0.75" header="0.55000000000000004" footer="0.3"/>
  <pageSetup paperSize="9" scale="69" fitToHeight="0" orientation="landscape" verticalDpi="0" r:id="rId3"/>
  <headerFooter scaleWithDoc="0">
    <oddHeader>&amp;C&amp;F</oddHeader>
    <oddFooter>&amp;L&amp;"Calibri,Normal"&amp;K000000Version 1.2 / Centre de compétences Fritic &amp;C&amp;"Calibri,Normal"&amp;K000000&amp;A&amp;R&amp;"Calibri,Normal"&amp;K000000Imprimé le &amp;D</oddFooter>
  </headerFooter>
  <rowBreaks count="3" manualBreakCount="3">
    <brk id="32" max="17" man="1"/>
    <brk id="66" max="17" man="1"/>
    <brk id="100" max="17" man="1"/>
  </rowBreaks>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62C1-9FFA-4F37-8A3F-61E821BC932B}">
  <sheetPr>
    <pageSetUpPr autoPageBreaks="0" fitToPage="1"/>
  </sheetPr>
  <dimension ref="A1:AY100"/>
  <sheetViews>
    <sheetView showGridLines="0" showRowColHeaders="0" zoomScale="90" zoomScaleNormal="90" workbookViewId="0">
      <selection activeCell="B14" sqref="B14:D14"/>
    </sheetView>
  </sheetViews>
  <sheetFormatPr baseColWidth="10" defaultColWidth="11.5" defaultRowHeight="15" x14ac:dyDescent="0.2"/>
  <cols>
    <col min="1" max="1" width="5.5" customWidth="1"/>
    <col min="2" max="2" width="65.83203125" customWidth="1"/>
    <col min="3" max="4" width="15.5" style="156" customWidth="1"/>
    <col min="5" max="8" width="15.5" customWidth="1"/>
    <col min="9" max="9" width="15.5" style="17" customWidth="1"/>
    <col min="10" max="10" width="15.5" customWidth="1"/>
    <col min="11" max="11" width="6" customWidth="1"/>
    <col min="12" max="16" width="13.83203125" customWidth="1"/>
    <col min="17" max="18" width="15.5" customWidth="1"/>
    <col min="19" max="39" width="11.5" customWidth="1"/>
    <col min="40" max="40" width="9.5" customWidth="1"/>
    <col min="41" max="41" width="24.5" customWidth="1"/>
    <col min="42" max="42" width="16.5" customWidth="1"/>
    <col min="43" max="47" width="13.83203125" customWidth="1"/>
    <col min="48" max="49" width="15.5" customWidth="1"/>
    <col min="50" max="50" width="13.83203125" bestFit="1" customWidth="1"/>
  </cols>
  <sheetData>
    <row r="1" spans="1:11" ht="66" customHeight="1" x14ac:dyDescent="0.2">
      <c r="A1" s="8"/>
      <c r="B1" s="8"/>
      <c r="C1" s="9"/>
      <c r="D1" s="9"/>
      <c r="E1" s="8"/>
      <c r="F1" s="8"/>
      <c r="G1" s="8"/>
      <c r="H1" s="8"/>
      <c r="I1" s="8"/>
      <c r="J1" s="8"/>
      <c r="K1" s="8"/>
    </row>
    <row r="2" spans="1:11" s="7" customFormat="1" ht="57" customHeight="1" x14ac:dyDescent="0.2">
      <c r="A2" s="6"/>
      <c r="B2" s="305" t="s">
        <v>156</v>
      </c>
      <c r="C2" s="97"/>
      <c r="D2" s="98"/>
      <c r="E2" s="6"/>
      <c r="F2" s="6"/>
      <c r="G2" s="6"/>
      <c r="H2" s="6"/>
      <c r="I2" s="6"/>
      <c r="J2" s="6"/>
      <c r="K2" s="6"/>
    </row>
    <row r="3" spans="1:11" s="7" customFormat="1" ht="17.25" customHeight="1" x14ac:dyDescent="0.2">
      <c r="A3" s="4"/>
      <c r="B3" s="4"/>
      <c r="C3" s="4"/>
      <c r="D3" s="4"/>
      <c r="E3" s="4"/>
      <c r="F3" s="4"/>
      <c r="G3" s="99"/>
      <c r="H3" s="99"/>
      <c r="I3" s="99"/>
      <c r="J3" s="99"/>
      <c r="K3" s="4"/>
    </row>
    <row r="4" spans="1:11" x14ac:dyDescent="0.2">
      <c r="A4" s="4"/>
      <c r="B4" s="446" t="s">
        <v>157</v>
      </c>
      <c r="C4" s="447"/>
      <c r="D4" s="447"/>
      <c r="E4" s="447"/>
      <c r="F4" s="4"/>
      <c r="G4" s="100"/>
      <c r="H4" s="4"/>
      <c r="I4" s="100"/>
      <c r="J4" s="100"/>
      <c r="K4" s="4"/>
    </row>
    <row r="5" spans="1:11" x14ac:dyDescent="0.2">
      <c r="A5" s="4"/>
      <c r="B5" s="4"/>
      <c r="C5" s="4"/>
      <c r="D5" s="4"/>
      <c r="E5" s="101"/>
      <c r="F5" s="101"/>
      <c r="G5" s="4"/>
      <c r="H5" s="4"/>
      <c r="I5" s="102"/>
      <c r="J5" s="4"/>
      <c r="K5" s="4"/>
    </row>
    <row r="6" spans="1:11" ht="16" customHeight="1" x14ac:dyDescent="0.2">
      <c r="A6" s="102"/>
      <c r="B6" s="4"/>
      <c r="C6" s="451" t="s">
        <v>158</v>
      </c>
      <c r="D6" s="452"/>
      <c r="E6" s="452"/>
      <c r="F6" s="185">
        <f>Nb_Tot_Bat</f>
        <v>0</v>
      </c>
      <c r="G6" s="4"/>
      <c r="H6" s="451" t="s">
        <v>159</v>
      </c>
      <c r="I6" s="452"/>
      <c r="J6" s="182">
        <f>Nb_Tot_Internet</f>
        <v>0</v>
      </c>
      <c r="K6" s="4"/>
    </row>
    <row r="7" spans="1:11" ht="16" customHeight="1" x14ac:dyDescent="0.2">
      <c r="A7" s="102"/>
      <c r="B7" s="4"/>
      <c r="C7" s="453" t="s">
        <v>160</v>
      </c>
      <c r="D7" s="454"/>
      <c r="E7" s="454"/>
      <c r="F7" s="186">
        <f>Nb_Tot_Etages</f>
        <v>0</v>
      </c>
      <c r="G7" s="4"/>
      <c r="H7" s="453" t="s">
        <v>161</v>
      </c>
      <c r="I7" s="454"/>
      <c r="J7" s="183">
        <f>Tot_Switches</f>
        <v>0</v>
      </c>
      <c r="K7" s="4"/>
    </row>
    <row r="8" spans="1:11" ht="16" customHeight="1" x14ac:dyDescent="0.2">
      <c r="A8" s="102"/>
      <c r="B8" s="4"/>
      <c r="C8" s="455" t="s">
        <v>162</v>
      </c>
      <c r="D8" s="456"/>
      <c r="E8" s="456"/>
      <c r="F8" s="187">
        <f>Nb_Tot_SallesDeClasse</f>
        <v>0</v>
      </c>
      <c r="G8" s="4"/>
      <c r="H8" s="455" t="s">
        <v>163</v>
      </c>
      <c r="I8" s="456"/>
      <c r="J8" s="184">
        <f>Tot_Antennes_Wifi</f>
        <v>0</v>
      </c>
      <c r="K8" s="4"/>
    </row>
    <row r="9" spans="1:11" x14ac:dyDescent="0.2">
      <c r="A9" s="4"/>
      <c r="B9" s="105"/>
      <c r="C9" s="104"/>
      <c r="D9" s="4"/>
      <c r="E9" s="4"/>
      <c r="F9" s="101"/>
      <c r="G9" s="4"/>
      <c r="H9" s="4"/>
      <c r="I9" s="102"/>
      <c r="J9" s="4"/>
      <c r="K9" s="4"/>
    </row>
    <row r="10" spans="1:11" x14ac:dyDescent="0.2">
      <c r="A10" s="4"/>
      <c r="B10" s="103"/>
      <c r="C10" s="106"/>
      <c r="D10" s="4"/>
      <c r="E10" s="4"/>
      <c r="F10" s="101"/>
      <c r="G10" s="4"/>
      <c r="H10" s="4"/>
      <c r="I10" s="102"/>
      <c r="J10" s="4"/>
      <c r="K10" s="4"/>
    </row>
    <row r="11" spans="1:11" ht="32" x14ac:dyDescent="0.2">
      <c r="A11" s="4"/>
      <c r="B11" s="107" t="s">
        <v>164</v>
      </c>
      <c r="C11" s="108" t="s">
        <v>36</v>
      </c>
      <c r="D11" s="109" t="s">
        <v>165</v>
      </c>
      <c r="E11" s="110" t="s">
        <v>166</v>
      </c>
      <c r="F11" s="108" t="s">
        <v>167</v>
      </c>
      <c r="G11" s="111" t="s">
        <v>168</v>
      </c>
      <c r="H11" s="112" t="s">
        <v>169</v>
      </c>
      <c r="I11" s="108" t="s">
        <v>170</v>
      </c>
      <c r="J11" s="113" t="s">
        <v>171</v>
      </c>
      <c r="K11" s="4"/>
    </row>
    <row r="12" spans="1:11" ht="19" x14ac:dyDescent="0.2">
      <c r="A12" s="114"/>
      <c r="B12" s="115"/>
      <c r="C12" s="116"/>
      <c r="D12" s="117"/>
      <c r="E12" s="118"/>
      <c r="F12" s="119"/>
      <c r="G12" s="120"/>
      <c r="H12" s="121"/>
      <c r="I12" s="122"/>
      <c r="J12" s="123"/>
      <c r="K12" s="4"/>
    </row>
    <row r="13" spans="1:11" ht="15" customHeight="1" x14ac:dyDescent="0.2">
      <c r="A13" s="114"/>
      <c r="B13" s="124" t="s">
        <v>172</v>
      </c>
      <c r="C13" s="125"/>
      <c r="D13" s="126"/>
      <c r="E13" s="127"/>
      <c r="F13" s="128"/>
      <c r="G13" s="129"/>
      <c r="H13" s="130"/>
      <c r="I13" s="131"/>
      <c r="J13" s="132"/>
      <c r="K13" s="4"/>
    </row>
    <row r="14" spans="1:11" ht="16" customHeight="1" x14ac:dyDescent="0.2">
      <c r="A14" s="114"/>
      <c r="B14" s="134" t="s">
        <v>173</v>
      </c>
      <c r="C14" s="308">
        <f>Nb_Tot_Internet</f>
        <v>0</v>
      </c>
      <c r="D14" s="311"/>
      <c r="E14" s="312">
        <f t="shared" ref="E14:E18" si="0">MAX(0,C14-D14)</f>
        <v>0</v>
      </c>
      <c r="F14" s="313">
        <f>'Prix unitaires'!B5</f>
        <v>0</v>
      </c>
      <c r="G14" s="314">
        <f>'Prix unitaires'!C5</f>
        <v>500</v>
      </c>
      <c r="H14" s="315">
        <f>C14*F14</f>
        <v>0</v>
      </c>
      <c r="I14" s="316">
        <f>E14*G14</f>
        <v>0</v>
      </c>
      <c r="J14" s="317" t="s">
        <v>174</v>
      </c>
      <c r="K14" s="4"/>
    </row>
    <row r="15" spans="1:11" ht="29.5" customHeight="1" x14ac:dyDescent="0.2">
      <c r="A15" s="114"/>
      <c r="B15" s="134" t="s">
        <v>175</v>
      </c>
      <c r="C15" s="308">
        <f>Nb_Tot_Internet</f>
        <v>0</v>
      </c>
      <c r="D15" s="311"/>
      <c r="E15" s="312">
        <f t="shared" si="0"/>
        <v>0</v>
      </c>
      <c r="F15" s="313">
        <f>'Prix unitaires'!B6</f>
        <v>360</v>
      </c>
      <c r="G15" s="314">
        <f>'Prix unitaires'!C6</f>
        <v>700</v>
      </c>
      <c r="H15" s="315">
        <f>C15*F15</f>
        <v>0</v>
      </c>
      <c r="I15" s="316">
        <f>E15*G15</f>
        <v>0</v>
      </c>
      <c r="J15" s="317" t="s">
        <v>174</v>
      </c>
      <c r="K15" s="4"/>
    </row>
    <row r="16" spans="1:11" ht="16" customHeight="1" x14ac:dyDescent="0.2">
      <c r="A16" s="114"/>
      <c r="B16" s="134" t="s">
        <v>176</v>
      </c>
      <c r="C16" s="308">
        <f>Nb_Tot_Internet</f>
        <v>0</v>
      </c>
      <c r="D16" s="311"/>
      <c r="E16" s="312">
        <f t="shared" si="0"/>
        <v>0</v>
      </c>
      <c r="F16" s="313">
        <f>'Prix unitaires'!B7</f>
        <v>0</v>
      </c>
      <c r="G16" s="314">
        <f>'Prix unitaires'!C7</f>
        <v>1300</v>
      </c>
      <c r="H16" s="315">
        <f>C16*F16</f>
        <v>0</v>
      </c>
      <c r="I16" s="316">
        <f>E16*G16</f>
        <v>0</v>
      </c>
      <c r="J16" s="318">
        <f>C16*G16</f>
        <v>0</v>
      </c>
      <c r="K16" s="4"/>
    </row>
    <row r="17" spans="1:11" ht="16" customHeight="1" x14ac:dyDescent="0.2">
      <c r="A17" s="114"/>
      <c r="B17" s="134" t="s">
        <v>177</v>
      </c>
      <c r="C17" s="308">
        <f>Tot_Switches</f>
        <v>0</v>
      </c>
      <c r="D17" s="311"/>
      <c r="E17" s="312">
        <f t="shared" si="0"/>
        <v>0</v>
      </c>
      <c r="F17" s="313"/>
      <c r="G17" s="314">
        <f>'Prix unitaires'!C9</f>
        <v>2000</v>
      </c>
      <c r="H17" s="315"/>
      <c r="I17" s="316">
        <f>E17*G17</f>
        <v>0</v>
      </c>
      <c r="J17" s="318">
        <f>C17*G17</f>
        <v>0</v>
      </c>
      <c r="K17" s="4"/>
    </row>
    <row r="18" spans="1:11" ht="16" customHeight="1" x14ac:dyDescent="0.2">
      <c r="A18" s="114"/>
      <c r="B18" s="134" t="s">
        <v>178</v>
      </c>
      <c r="C18" s="308" cm="1">
        <f t="array" ref="C18">Tot_Armoire_réseau</f>
        <v>0</v>
      </c>
      <c r="D18" s="311"/>
      <c r="E18" s="312">
        <f t="shared" si="0"/>
        <v>0</v>
      </c>
      <c r="F18" s="313"/>
      <c r="G18" s="314">
        <f>'Prix unitaires'!C12</f>
        <v>500</v>
      </c>
      <c r="H18" s="315"/>
      <c r="I18" s="316">
        <f>E18*G18</f>
        <v>0</v>
      </c>
      <c r="J18" s="317" t="s">
        <v>174</v>
      </c>
      <c r="K18" s="4"/>
    </row>
    <row r="19" spans="1:11" ht="16" customHeight="1" x14ac:dyDescent="0.2">
      <c r="A19" s="114"/>
      <c r="B19" s="134" t="s">
        <v>179</v>
      </c>
      <c r="C19" s="308">
        <f>Tot_Switches+Nb_Tot_Internet</f>
        <v>0</v>
      </c>
      <c r="D19" s="449">
        <f>C19</f>
        <v>0</v>
      </c>
      <c r="E19" s="450"/>
      <c r="F19" s="313">
        <f>'Prix unitaires'!B13</f>
        <v>200</v>
      </c>
      <c r="G19" s="320" t="s">
        <v>174</v>
      </c>
      <c r="H19" s="321">
        <f>C19*F19</f>
        <v>0</v>
      </c>
      <c r="I19" s="317" t="s">
        <v>174</v>
      </c>
      <c r="J19" s="317" t="s">
        <v>174</v>
      </c>
      <c r="K19" s="4"/>
    </row>
    <row r="20" spans="1:11" ht="16" customHeight="1" x14ac:dyDescent="0.2">
      <c r="A20" s="114"/>
      <c r="B20" s="133" t="s">
        <v>180</v>
      </c>
      <c r="C20" s="308">
        <f>Tot_Antennes_Wifi</f>
        <v>0</v>
      </c>
      <c r="D20" s="311"/>
      <c r="E20" s="312">
        <f t="shared" ref="E20:E22" si="1">MAX(0,C20-D20)</f>
        <v>0</v>
      </c>
      <c r="F20" s="313"/>
      <c r="G20" s="314">
        <f>'Prix unitaires'!C14</f>
        <v>850</v>
      </c>
      <c r="H20" s="315"/>
      <c r="I20" s="316">
        <f>E20*G20</f>
        <v>0</v>
      </c>
      <c r="J20" s="318">
        <f>C20*G20</f>
        <v>0</v>
      </c>
      <c r="K20" s="4"/>
    </row>
    <row r="21" spans="1:11" ht="28" customHeight="1" x14ac:dyDescent="0.2">
      <c r="A21" s="114"/>
      <c r="B21" s="134" t="s">
        <v>181</v>
      </c>
      <c r="C21" s="308">
        <f>Nb_Tot_Internet</f>
        <v>0</v>
      </c>
      <c r="D21" s="311"/>
      <c r="E21" s="312">
        <f t="shared" si="1"/>
        <v>0</v>
      </c>
      <c r="F21" s="313">
        <f>'Prix unitaires'!B15</f>
        <v>300</v>
      </c>
      <c r="G21" s="314">
        <f>'Prix unitaires'!C15</f>
        <v>600</v>
      </c>
      <c r="H21" s="315">
        <f>C21*F21</f>
        <v>0</v>
      </c>
      <c r="I21" s="316">
        <f>E21*G21</f>
        <v>0</v>
      </c>
      <c r="J21" s="318">
        <f>C21*G21</f>
        <v>0</v>
      </c>
      <c r="K21" s="4"/>
    </row>
    <row r="22" spans="1:11" ht="27.75" customHeight="1" x14ac:dyDescent="0.2">
      <c r="A22" s="114"/>
      <c r="B22" s="134" t="s">
        <v>182</v>
      </c>
      <c r="C22" s="308">
        <f>Tot_Connexions</f>
        <v>0</v>
      </c>
      <c r="D22" s="311"/>
      <c r="E22" s="312">
        <f t="shared" si="1"/>
        <v>0</v>
      </c>
      <c r="F22" s="313"/>
      <c r="G22" s="314">
        <f>'Prix unitaires'!C16</f>
        <v>500</v>
      </c>
      <c r="H22" s="315"/>
      <c r="I22" s="316">
        <f>E22*G22</f>
        <v>0</v>
      </c>
      <c r="J22" s="317" t="s">
        <v>174</v>
      </c>
      <c r="K22" s="4"/>
    </row>
    <row r="23" spans="1:11" ht="15" customHeight="1" x14ac:dyDescent="0.2">
      <c r="A23" s="114"/>
      <c r="B23" s="337" t="s">
        <v>183</v>
      </c>
      <c r="C23" s="309"/>
      <c r="D23" s="339"/>
      <c r="E23" s="322"/>
      <c r="F23" s="323"/>
      <c r="G23" s="324"/>
      <c r="H23" s="325"/>
      <c r="I23" s="326"/>
      <c r="J23" s="327"/>
      <c r="K23" s="4"/>
    </row>
    <row r="24" spans="1:11" ht="16" customHeight="1" x14ac:dyDescent="0.2">
      <c r="A24" s="114"/>
      <c r="B24" s="134" t="s">
        <v>184</v>
      </c>
      <c r="C24" s="308">
        <f t="shared" ref="C24:C29" si="2">Nb_Cla_Std</f>
        <v>0</v>
      </c>
      <c r="D24" s="311"/>
      <c r="E24" s="312">
        <f>MAX(0,C24-D24)</f>
        <v>0</v>
      </c>
      <c r="F24" s="313"/>
      <c r="G24" s="314">
        <f>'Prix unitaires'!C23</f>
        <v>5000</v>
      </c>
      <c r="H24" s="315"/>
      <c r="I24" s="328">
        <f t="shared" ref="I24:I30" si="3">E24*G24</f>
        <v>0</v>
      </c>
      <c r="J24" s="329">
        <f t="shared" ref="J24:J30" si="4">C24*G24</f>
        <v>0</v>
      </c>
      <c r="K24" s="4"/>
    </row>
    <row r="25" spans="1:11" ht="16" customHeight="1" x14ac:dyDescent="0.2">
      <c r="A25" s="114"/>
      <c r="B25" s="133" t="s">
        <v>185</v>
      </c>
      <c r="C25" s="308">
        <f t="shared" si="2"/>
        <v>0</v>
      </c>
      <c r="D25" s="311"/>
      <c r="E25" s="319">
        <f t="shared" ref="E25:E30" si="5">MAX(0,C25-D25)</f>
        <v>0</v>
      </c>
      <c r="F25" s="313"/>
      <c r="G25" s="314">
        <f>'Prix unitaires'!C24</f>
        <v>500</v>
      </c>
      <c r="H25" s="315"/>
      <c r="I25" s="328">
        <f t="shared" si="3"/>
        <v>0</v>
      </c>
      <c r="J25" s="329">
        <f t="shared" si="4"/>
        <v>0</v>
      </c>
      <c r="K25" s="4"/>
    </row>
    <row r="26" spans="1:11" ht="16" customHeight="1" x14ac:dyDescent="0.2">
      <c r="A26" s="114"/>
      <c r="B26" s="133" t="s">
        <v>186</v>
      </c>
      <c r="C26" s="308">
        <f t="shared" si="2"/>
        <v>0</v>
      </c>
      <c r="D26" s="311"/>
      <c r="E26" s="319">
        <f t="shared" si="5"/>
        <v>0</v>
      </c>
      <c r="F26" s="313"/>
      <c r="G26" s="314">
        <f>'Prix unitaires'!C25</f>
        <v>700</v>
      </c>
      <c r="H26" s="315"/>
      <c r="I26" s="328">
        <f t="shared" si="3"/>
        <v>0</v>
      </c>
      <c r="J26" s="329">
        <f t="shared" si="4"/>
        <v>0</v>
      </c>
      <c r="K26" s="4"/>
    </row>
    <row r="27" spans="1:11" ht="16" customHeight="1" x14ac:dyDescent="0.2">
      <c r="A27" s="114"/>
      <c r="B27" s="133" t="s">
        <v>187</v>
      </c>
      <c r="C27" s="308">
        <f t="shared" si="2"/>
        <v>0</v>
      </c>
      <c r="D27" s="311"/>
      <c r="E27" s="319">
        <f t="shared" si="5"/>
        <v>0</v>
      </c>
      <c r="F27" s="313"/>
      <c r="G27" s="314">
        <f>'Prix unitaires'!C26</f>
        <v>400</v>
      </c>
      <c r="H27" s="315"/>
      <c r="I27" s="328">
        <f t="shared" si="3"/>
        <v>0</v>
      </c>
      <c r="J27" s="329">
        <f t="shared" si="4"/>
        <v>0</v>
      </c>
      <c r="K27" s="4"/>
    </row>
    <row r="28" spans="1:11" ht="16" customHeight="1" x14ac:dyDescent="0.2">
      <c r="A28" s="114"/>
      <c r="B28" s="133" t="s">
        <v>188</v>
      </c>
      <c r="C28" s="308">
        <f t="shared" si="2"/>
        <v>0</v>
      </c>
      <c r="D28" s="311"/>
      <c r="E28" s="319">
        <f t="shared" si="5"/>
        <v>0</v>
      </c>
      <c r="F28" s="313"/>
      <c r="G28" s="314">
        <f>'Prix unitaires'!C27</f>
        <v>300</v>
      </c>
      <c r="H28" s="315"/>
      <c r="I28" s="328">
        <f t="shared" si="3"/>
        <v>0</v>
      </c>
      <c r="J28" s="329">
        <f t="shared" si="4"/>
        <v>0</v>
      </c>
      <c r="K28" s="4"/>
    </row>
    <row r="29" spans="1:11" ht="16" customHeight="1" x14ac:dyDescent="0.2">
      <c r="A29" s="114"/>
      <c r="B29" s="133" t="s">
        <v>189</v>
      </c>
      <c r="C29" s="308">
        <f t="shared" si="2"/>
        <v>0</v>
      </c>
      <c r="D29" s="311"/>
      <c r="E29" s="319">
        <f t="shared" si="5"/>
        <v>0</v>
      </c>
      <c r="F29" s="313"/>
      <c r="G29" s="314">
        <f>'Prix unitaires'!C28</f>
        <v>300</v>
      </c>
      <c r="H29" s="315"/>
      <c r="I29" s="328">
        <f t="shared" si="3"/>
        <v>0</v>
      </c>
      <c r="J29" s="329">
        <f t="shared" si="4"/>
        <v>0</v>
      </c>
      <c r="K29" s="4"/>
    </row>
    <row r="30" spans="1:11" ht="16" customHeight="1" x14ac:dyDescent="0.2">
      <c r="A30" s="114"/>
      <c r="B30" s="133" t="s">
        <v>190</v>
      </c>
      <c r="C30" s="310">
        <f>ROUNDUP((Tot_Equip_Elèves)/10,0)*10</f>
        <v>0</v>
      </c>
      <c r="D30" s="311"/>
      <c r="E30" s="319">
        <f t="shared" si="5"/>
        <v>0</v>
      </c>
      <c r="F30" s="313"/>
      <c r="G30" s="314">
        <f>IF(Nb_Ele_9_11H&gt;0,'Prix unitaires'!C30,'Prix unitaires'!C31)</f>
        <v>30</v>
      </c>
      <c r="H30" s="315"/>
      <c r="I30" s="328">
        <f t="shared" si="3"/>
        <v>0</v>
      </c>
      <c r="J30" s="329">
        <f t="shared" si="4"/>
        <v>0</v>
      </c>
      <c r="K30" s="4"/>
    </row>
    <row r="31" spans="1:11" ht="16" customHeight="1" x14ac:dyDescent="0.2">
      <c r="A31" s="114"/>
      <c r="B31" s="135" t="s">
        <v>191</v>
      </c>
      <c r="C31" s="310">
        <f>Tot_Syst_Rang</f>
        <v>0</v>
      </c>
      <c r="D31" s="330">
        <f>Tot_Syst_Rang_conserver</f>
        <v>0</v>
      </c>
      <c r="E31" s="331">
        <f>Tot_Syst_Rang_nouveaux</f>
        <v>0</v>
      </c>
      <c r="F31" s="332"/>
      <c r="G31" s="333" t="s">
        <v>192</v>
      </c>
      <c r="H31" s="334"/>
      <c r="I31" s="335">
        <f>Tot_Cout_Syst_Rang_init</f>
        <v>0</v>
      </c>
      <c r="J31" s="336"/>
      <c r="K31" s="4"/>
    </row>
    <row r="32" spans="1:11" ht="16" customHeight="1" x14ac:dyDescent="0.2">
      <c r="A32" s="4"/>
      <c r="B32" s="136"/>
      <c r="C32" s="137"/>
      <c r="D32" s="448"/>
      <c r="E32" s="448"/>
      <c r="F32" s="139"/>
      <c r="G32" s="139"/>
      <c r="H32" s="139">
        <f>SUM(H13:H31)</f>
        <v>0</v>
      </c>
      <c r="I32" s="139">
        <f>SUM(I13:I31)</f>
        <v>0</v>
      </c>
      <c r="J32" s="139">
        <f>SUM(J13:J31)</f>
        <v>0</v>
      </c>
      <c r="K32" s="4"/>
    </row>
    <row r="33" spans="1:11" ht="16" customHeight="1" x14ac:dyDescent="0.2">
      <c r="A33" s="4"/>
      <c r="B33" s="140" t="s">
        <v>193</v>
      </c>
      <c r="C33" s="141"/>
      <c r="D33" s="142" t="s">
        <v>194</v>
      </c>
      <c r="E33" s="143" t="s">
        <v>195</v>
      </c>
      <c r="F33" s="144"/>
      <c r="G33" s="457" t="s">
        <v>196</v>
      </c>
      <c r="H33" s="457"/>
      <c r="I33" s="457"/>
      <c r="J33" s="457"/>
      <c r="K33" s="4"/>
    </row>
    <row r="34" spans="1:11" x14ac:dyDescent="0.2">
      <c r="A34" s="4"/>
      <c r="B34" s="145" t="s">
        <v>197</v>
      </c>
      <c r="C34" s="146"/>
      <c r="D34" s="147">
        <f>MROUND(Couts_Uniques_Initiaux_brut,1000)</f>
        <v>0</v>
      </c>
      <c r="E34" s="148">
        <f>MROUND(Couts_Uniques_Initiaux/(Nb_Tot_Eleves+0.001),100)</f>
        <v>0</v>
      </c>
      <c r="F34" s="149"/>
      <c r="G34" s="457"/>
      <c r="H34" s="457"/>
      <c r="I34" s="457"/>
      <c r="J34" s="457"/>
      <c r="K34" s="4"/>
    </row>
    <row r="35" spans="1:11" x14ac:dyDescent="0.2">
      <c r="A35" s="4"/>
      <c r="B35" s="145" t="s">
        <v>198</v>
      </c>
      <c r="C35" s="146"/>
      <c r="D35" s="150">
        <f>MROUND(Couts_Uniques_Renouv_Bruts,1000)</f>
        <v>0</v>
      </c>
      <c r="E35" s="151">
        <f>MROUND(Couts_Uniques_Renouv/(Nb_Tot_Eleves+0.001),100)</f>
        <v>0</v>
      </c>
      <c r="F35" s="149"/>
      <c r="G35" s="4"/>
      <c r="H35" s="4"/>
      <c r="I35" s="102"/>
      <c r="J35" s="4"/>
      <c r="K35" s="4"/>
    </row>
    <row r="36" spans="1:11" x14ac:dyDescent="0.2">
      <c r="A36" s="4"/>
      <c r="B36" s="152" t="s">
        <v>199</v>
      </c>
      <c r="C36" s="153"/>
      <c r="D36" s="154">
        <f>MROUND(Couts_Annuels_Bruts,100)</f>
        <v>0</v>
      </c>
      <c r="E36" s="155">
        <f>MROUND(Couts_Annuels/(Nb_Tot_Eleves+0.001),1)</f>
        <v>0</v>
      </c>
      <c r="F36" s="149"/>
      <c r="G36" s="4"/>
      <c r="H36" s="4"/>
      <c r="I36" s="102"/>
      <c r="J36" s="4"/>
      <c r="K36" s="4"/>
    </row>
    <row r="37" spans="1:11" x14ac:dyDescent="0.2">
      <c r="A37" s="4"/>
      <c r="B37" s="4"/>
      <c r="C37" s="4"/>
      <c r="D37" s="4"/>
      <c r="E37" s="138"/>
      <c r="F37" s="4"/>
      <c r="G37" s="4"/>
      <c r="H37" s="4"/>
      <c r="I37" s="102"/>
      <c r="J37" s="4"/>
      <c r="K37" s="4"/>
    </row>
    <row r="38" spans="1:11" x14ac:dyDescent="0.2">
      <c r="A38" s="4"/>
      <c r="B38" s="4"/>
      <c r="C38" s="4"/>
      <c r="D38" s="4"/>
      <c r="E38" s="138"/>
      <c r="F38" s="4"/>
      <c r="G38" s="4"/>
      <c r="H38" s="4"/>
      <c r="I38" s="102"/>
      <c r="J38" s="4"/>
      <c r="K38" s="4"/>
    </row>
    <row r="39" spans="1:11" x14ac:dyDescent="0.2">
      <c r="A39" s="4"/>
      <c r="B39" s="4"/>
      <c r="C39" s="4"/>
      <c r="D39" s="4"/>
      <c r="E39" s="138"/>
      <c r="F39" s="4"/>
      <c r="G39" s="4"/>
      <c r="H39" s="4"/>
      <c r="I39" s="102"/>
      <c r="J39" s="4"/>
      <c r="K39" s="4"/>
    </row>
    <row r="40" spans="1:11" x14ac:dyDescent="0.2">
      <c r="A40" s="4"/>
      <c r="B40" s="4"/>
      <c r="C40" s="4"/>
      <c r="D40" s="4"/>
      <c r="E40" s="138"/>
      <c r="F40" s="4"/>
      <c r="G40" s="4"/>
      <c r="H40" s="4"/>
      <c r="I40" s="102"/>
      <c r="J40" s="4"/>
      <c r="K40" s="4"/>
    </row>
    <row r="41" spans="1:11" x14ac:dyDescent="0.2">
      <c r="A41" s="4"/>
      <c r="B41" s="4"/>
      <c r="C41" s="4"/>
      <c r="D41" s="4"/>
      <c r="E41" s="138"/>
      <c r="F41" s="4"/>
      <c r="G41" s="4"/>
      <c r="H41" s="4"/>
      <c r="I41" s="102"/>
      <c r="J41" s="4"/>
      <c r="K41" s="4"/>
    </row>
    <row r="42" spans="1:11" x14ac:dyDescent="0.2">
      <c r="A42" s="4"/>
      <c r="B42" s="4"/>
      <c r="C42" s="4"/>
      <c r="D42" s="4"/>
      <c r="E42" s="138"/>
      <c r="F42" s="4"/>
      <c r="G42" s="4"/>
      <c r="H42" s="4"/>
      <c r="I42" s="102"/>
      <c r="J42" s="4"/>
      <c r="K42" s="4"/>
    </row>
    <row r="43" spans="1:11" x14ac:dyDescent="0.2">
      <c r="A43" s="4"/>
      <c r="B43" s="4"/>
      <c r="C43" s="4"/>
      <c r="D43" s="4"/>
      <c r="E43" s="138"/>
      <c r="F43" s="4"/>
      <c r="G43" s="4"/>
      <c r="H43" s="4"/>
      <c r="I43" s="102"/>
      <c r="J43" s="4"/>
      <c r="K43" s="4"/>
    </row>
    <row r="44" spans="1:11" x14ac:dyDescent="0.2">
      <c r="A44" s="4"/>
      <c r="B44" s="4"/>
      <c r="C44" s="4"/>
      <c r="D44" s="4"/>
      <c r="E44" s="138"/>
      <c r="F44" s="4"/>
      <c r="G44" s="4"/>
      <c r="H44" s="4"/>
      <c r="I44" s="102"/>
      <c r="J44" s="4"/>
      <c r="K44" s="4"/>
    </row>
    <row r="45" spans="1:11" x14ac:dyDescent="0.2">
      <c r="A45" s="4"/>
      <c r="B45" s="4"/>
      <c r="C45" s="4"/>
      <c r="D45" s="4"/>
      <c r="E45" s="138"/>
      <c r="F45" s="4"/>
      <c r="G45" s="4"/>
      <c r="H45" s="4"/>
      <c r="I45" s="102"/>
      <c r="J45" s="4"/>
      <c r="K45" s="4"/>
    </row>
    <row r="46" spans="1:11" x14ac:dyDescent="0.2">
      <c r="A46" s="4"/>
      <c r="B46" s="4"/>
      <c r="C46" s="4"/>
      <c r="D46" s="4"/>
      <c r="E46" s="138"/>
      <c r="F46" s="4"/>
      <c r="G46" s="4"/>
      <c r="H46" s="4"/>
      <c r="I46" s="102"/>
      <c r="J46" s="4"/>
      <c r="K46" s="4"/>
    </row>
    <row r="47" spans="1:11" x14ac:dyDescent="0.2">
      <c r="A47" s="4"/>
      <c r="B47" s="4"/>
      <c r="C47" s="4"/>
      <c r="D47" s="4"/>
      <c r="E47" s="138"/>
      <c r="F47" s="4"/>
      <c r="G47" s="4"/>
      <c r="H47" s="4"/>
      <c r="I47" s="102"/>
      <c r="J47" s="4"/>
      <c r="K47" s="4"/>
    </row>
    <row r="48" spans="1:11" x14ac:dyDescent="0.2">
      <c r="A48" s="4"/>
      <c r="B48" s="4"/>
      <c r="C48" s="4"/>
      <c r="D48" s="4"/>
      <c r="E48" s="138"/>
      <c r="F48" s="4"/>
      <c r="G48" s="4"/>
      <c r="H48" s="4"/>
      <c r="I48" s="102"/>
      <c r="J48" s="4"/>
      <c r="K48" s="4"/>
    </row>
    <row r="49" spans="3:49" x14ac:dyDescent="0.2">
      <c r="C49"/>
      <c r="D49"/>
      <c r="E49" s="156"/>
    </row>
    <row r="50" spans="3:49" x14ac:dyDescent="0.2">
      <c r="C50"/>
      <c r="D50"/>
      <c r="E50" s="156"/>
    </row>
    <row r="51" spans="3:49" x14ac:dyDescent="0.2">
      <c r="C51"/>
      <c r="D51"/>
      <c r="E51" s="156"/>
    </row>
    <row r="52" spans="3:49" x14ac:dyDescent="0.2">
      <c r="C52"/>
      <c r="D52"/>
      <c r="E52" s="156"/>
    </row>
    <row r="53" spans="3:49" x14ac:dyDescent="0.2">
      <c r="C53"/>
      <c r="D53"/>
      <c r="E53" s="156"/>
    </row>
    <row r="54" spans="3:49" x14ac:dyDescent="0.2">
      <c r="C54"/>
      <c r="D54"/>
      <c r="E54" s="156"/>
    </row>
    <row r="55" spans="3:49" x14ac:dyDescent="0.2">
      <c r="C55"/>
      <c r="D55"/>
      <c r="E55" s="156"/>
    </row>
    <row r="56" spans="3:49" x14ac:dyDescent="0.2">
      <c r="C56"/>
      <c r="D56"/>
      <c r="E56" s="156"/>
    </row>
    <row r="57" spans="3:49" ht="19" x14ac:dyDescent="0.2">
      <c r="C57"/>
      <c r="D57"/>
      <c r="E57" s="156"/>
      <c r="AO57" s="157"/>
      <c r="AP57" s="440" t="s">
        <v>193</v>
      </c>
      <c r="AQ57" s="441"/>
      <c r="AR57" s="441"/>
      <c r="AS57" s="441"/>
      <c r="AT57" s="441"/>
      <c r="AU57" s="441"/>
      <c r="AV57" s="441"/>
      <c r="AW57" s="442"/>
    </row>
    <row r="58" spans="3:49" x14ac:dyDescent="0.2">
      <c r="AO58" s="158"/>
      <c r="AP58" s="443" t="s">
        <v>200</v>
      </c>
      <c r="AQ58" s="444"/>
      <c r="AR58" s="444"/>
      <c r="AS58" s="444"/>
      <c r="AT58" s="444"/>
      <c r="AU58" s="444"/>
      <c r="AV58" s="444"/>
      <c r="AW58" s="445"/>
    </row>
    <row r="59" spans="3:49" x14ac:dyDescent="0.2">
      <c r="C59"/>
      <c r="D59"/>
      <c r="AO59" s="158"/>
      <c r="AP59" s="157" t="s">
        <v>201</v>
      </c>
      <c r="AQ59" s="157" t="s">
        <v>202</v>
      </c>
      <c r="AR59" s="157" t="s">
        <v>203</v>
      </c>
      <c r="AS59" s="157" t="s">
        <v>204</v>
      </c>
      <c r="AT59" s="157" t="s">
        <v>205</v>
      </c>
      <c r="AU59" s="157" t="s">
        <v>206</v>
      </c>
      <c r="AV59" s="157" t="s">
        <v>207</v>
      </c>
      <c r="AW59" s="157" t="s">
        <v>208</v>
      </c>
    </row>
    <row r="60" spans="3:49" ht="32" x14ac:dyDescent="0.2">
      <c r="AO60" s="159"/>
      <c r="AP60" s="160" t="s">
        <v>209</v>
      </c>
      <c r="AQ60" s="161" t="s">
        <v>210</v>
      </c>
      <c r="AR60" s="161" t="s">
        <v>210</v>
      </c>
      <c r="AS60" s="161" t="s">
        <v>210</v>
      </c>
      <c r="AT60" s="161" t="s">
        <v>210</v>
      </c>
      <c r="AU60" s="161" t="s">
        <v>210</v>
      </c>
      <c r="AV60" s="161" t="s">
        <v>210</v>
      </c>
      <c r="AW60" s="162" t="s">
        <v>211</v>
      </c>
    </row>
    <row r="61" spans="3:49" ht="15" customHeight="1" x14ac:dyDescent="0.2">
      <c r="AO61" s="163" t="s">
        <v>212</v>
      </c>
      <c r="AP61" s="164">
        <f>Couts_Uniques_Initiaux</f>
        <v>0</v>
      </c>
      <c r="AQ61" s="165"/>
      <c r="AR61" s="165"/>
      <c r="AS61" s="165"/>
      <c r="AT61" s="165"/>
      <c r="AU61" s="165"/>
      <c r="AV61" s="165"/>
      <c r="AW61" s="166">
        <f>Couts_Uniques_Renouv</f>
        <v>0</v>
      </c>
    </row>
    <row r="62" spans="3:49" x14ac:dyDescent="0.2">
      <c r="AO62" s="163" t="s">
        <v>169</v>
      </c>
      <c r="AP62" s="167">
        <f t="shared" ref="AP62:AW62" si="6">Couts_Annuels</f>
        <v>0</v>
      </c>
      <c r="AQ62" s="168">
        <f t="shared" si="6"/>
        <v>0</v>
      </c>
      <c r="AR62" s="168">
        <f t="shared" si="6"/>
        <v>0</v>
      </c>
      <c r="AS62" s="168">
        <f t="shared" si="6"/>
        <v>0</v>
      </c>
      <c r="AT62" s="168">
        <f t="shared" si="6"/>
        <v>0</v>
      </c>
      <c r="AU62" s="168">
        <f t="shared" si="6"/>
        <v>0</v>
      </c>
      <c r="AV62" s="168">
        <f t="shared" si="6"/>
        <v>0</v>
      </c>
      <c r="AW62" s="169">
        <f t="shared" si="6"/>
        <v>0</v>
      </c>
    </row>
    <row r="63" spans="3:49" x14ac:dyDescent="0.2">
      <c r="L63" s="170"/>
      <c r="AO63" s="171" t="s">
        <v>213</v>
      </c>
      <c r="AP63" s="172">
        <f>AP61+AP62</f>
        <v>0</v>
      </c>
      <c r="AQ63" s="173">
        <f t="shared" ref="AQ63:AW63" si="7">AQ61+AQ62</f>
        <v>0</v>
      </c>
      <c r="AR63" s="173">
        <f t="shared" si="7"/>
        <v>0</v>
      </c>
      <c r="AS63" s="173">
        <f t="shared" si="7"/>
        <v>0</v>
      </c>
      <c r="AT63" s="173">
        <f t="shared" si="7"/>
        <v>0</v>
      </c>
      <c r="AU63" s="173">
        <f t="shared" si="7"/>
        <v>0</v>
      </c>
      <c r="AV63" s="173">
        <f t="shared" si="7"/>
        <v>0</v>
      </c>
      <c r="AW63" s="174">
        <f t="shared" si="7"/>
        <v>0</v>
      </c>
    </row>
    <row r="65" spans="40:51" ht="19" x14ac:dyDescent="0.2">
      <c r="AN65" s="17"/>
      <c r="AO65" s="175"/>
      <c r="AP65" s="176"/>
      <c r="AQ65" s="176"/>
      <c r="AR65" s="176"/>
      <c r="AS65" s="176"/>
      <c r="AT65" s="176"/>
      <c r="AU65" s="176"/>
      <c r="AV65" s="176"/>
      <c r="AW65" s="176"/>
      <c r="AX65" s="17"/>
      <c r="AY65" s="17"/>
    </row>
    <row r="66" spans="40:51" x14ac:dyDescent="0.2">
      <c r="AN66" s="17"/>
      <c r="AO66" s="175"/>
      <c r="AP66" s="177"/>
      <c r="AQ66" s="177"/>
      <c r="AR66" s="177"/>
      <c r="AS66" s="177"/>
      <c r="AT66" s="177"/>
      <c r="AU66" s="177"/>
      <c r="AV66" s="177"/>
      <c r="AW66" s="177"/>
      <c r="AX66" s="17"/>
      <c r="AY66" s="17"/>
    </row>
    <row r="67" spans="40:51" x14ac:dyDescent="0.2">
      <c r="AN67" s="17"/>
      <c r="AO67" s="175"/>
      <c r="AP67" s="175"/>
      <c r="AQ67" s="175"/>
      <c r="AR67" s="175"/>
      <c r="AS67" s="175"/>
      <c r="AT67" s="175"/>
      <c r="AU67" s="175"/>
      <c r="AV67" s="175"/>
      <c r="AW67" s="175"/>
      <c r="AX67" s="17"/>
      <c r="AY67" s="17"/>
    </row>
    <row r="68" spans="40:51" x14ac:dyDescent="0.2">
      <c r="AN68" s="17"/>
      <c r="AO68" s="175"/>
      <c r="AP68" s="178"/>
      <c r="AQ68" s="179"/>
      <c r="AR68" s="179"/>
      <c r="AS68" s="179"/>
      <c r="AT68" s="179"/>
      <c r="AU68" s="179"/>
      <c r="AV68" s="179"/>
      <c r="AW68" s="178"/>
      <c r="AX68" s="17"/>
      <c r="AY68" s="17"/>
    </row>
    <row r="69" spans="40:51" x14ac:dyDescent="0.2">
      <c r="AN69" s="17"/>
      <c r="AO69" s="180"/>
      <c r="AP69" s="181"/>
      <c r="AQ69" s="181"/>
      <c r="AR69" s="181"/>
      <c r="AS69" s="181"/>
      <c r="AT69" s="181"/>
      <c r="AU69" s="181"/>
      <c r="AV69" s="181"/>
      <c r="AW69" s="181"/>
      <c r="AX69" s="17"/>
      <c r="AY69" s="17"/>
    </row>
    <row r="70" spans="40:51" x14ac:dyDescent="0.2">
      <c r="AN70" s="17"/>
      <c r="AO70" s="180"/>
      <c r="AP70" s="181"/>
      <c r="AQ70" s="181"/>
      <c r="AR70" s="181"/>
      <c r="AS70" s="181"/>
      <c r="AT70" s="181"/>
      <c r="AU70" s="181"/>
      <c r="AV70" s="181"/>
      <c r="AW70" s="181"/>
      <c r="AX70" s="17"/>
      <c r="AY70" s="17"/>
    </row>
    <row r="71" spans="40:51" x14ac:dyDescent="0.2">
      <c r="AN71" s="17"/>
      <c r="AO71" s="180"/>
      <c r="AP71" s="181"/>
      <c r="AQ71" s="181"/>
      <c r="AR71" s="181"/>
      <c r="AS71" s="181"/>
      <c r="AT71" s="181"/>
      <c r="AU71" s="181"/>
      <c r="AV71" s="181"/>
      <c r="AW71" s="181"/>
      <c r="AX71" s="17"/>
      <c r="AY71" s="17"/>
    </row>
    <row r="72" spans="40:51" x14ac:dyDescent="0.2">
      <c r="AN72" s="17"/>
      <c r="AO72" s="17"/>
      <c r="AP72" s="17"/>
      <c r="AQ72" s="17"/>
      <c r="AR72" s="17"/>
      <c r="AS72" s="17"/>
      <c r="AT72" s="17"/>
      <c r="AU72" s="17"/>
      <c r="AV72" s="17"/>
      <c r="AW72" s="17"/>
      <c r="AX72" s="17"/>
      <c r="AY72" s="17"/>
    </row>
    <row r="73" spans="40:51" x14ac:dyDescent="0.2">
      <c r="AN73" s="17"/>
      <c r="AO73" s="17"/>
      <c r="AP73" s="17"/>
      <c r="AQ73" s="17"/>
      <c r="AR73" s="17"/>
      <c r="AS73" s="17"/>
      <c r="AT73" s="17"/>
      <c r="AU73" s="17"/>
      <c r="AV73" s="17"/>
      <c r="AW73" s="17"/>
      <c r="AX73" s="17"/>
      <c r="AY73" s="17"/>
    </row>
    <row r="99" spans="3:4" x14ac:dyDescent="0.2">
      <c r="C99"/>
      <c r="D99"/>
    </row>
    <row r="100" spans="3:4" x14ac:dyDescent="0.2">
      <c r="C100"/>
      <c r="D100"/>
    </row>
  </sheetData>
  <sheetProtection algorithmName="SHA-512" hashValue="6sjnM5Hb6hggkAU07ovedZShRhclAr9S9Jrr3POs1I2ki+563pmRSx3CvfaOJk1FC5FFEahxZ8KVUl4TkU0XlQ==" saltValue="mh/7Q2N7f0pliXpuzybGrw==" spinCount="100000" sheet="1"/>
  <customSheetViews>
    <customSheetView guid="{2F7F83DD-5603-CE40-9872-ABF624ECE237}" fitToPage="1">
      <pageMargins left="0" right="0" top="0" bottom="0" header="0" footer="0"/>
      <pageSetup paperSize="9" scale="64" orientation="portrait" r:id="rId1"/>
      <headerFooter>
        <oddHeader>&amp;C&amp;F</oddHeader>
        <oddFooter>&amp;LVersion 1.0 / Centre de compétences Fritic &amp;C&amp;A&amp;RImprimé le &amp;D</oddFooter>
      </headerFooter>
    </customSheetView>
    <customSheetView guid="{D932F249-B54E-D54C-B8F4-0256603E93D7}" fitToPage="1" printArea="1">
      <pageMargins left="0" right="0" top="0" bottom="0" header="0" footer="0"/>
      <pageSetup paperSize="9" scale="64" orientation="portrait" r:id="rId2"/>
      <headerFooter>
        <oddHeader>&amp;C&amp;F</oddHeader>
        <oddFooter>&amp;LVersion 1.0 / Centre de compétences Fritic &amp;C&amp;A&amp;RImprimé le &amp;D</oddFooter>
      </headerFooter>
    </customSheetView>
  </customSheetViews>
  <mergeCells count="12">
    <mergeCell ref="AP57:AW57"/>
    <mergeCell ref="AP58:AW58"/>
    <mergeCell ref="B4:E4"/>
    <mergeCell ref="D32:E32"/>
    <mergeCell ref="D19:E19"/>
    <mergeCell ref="H6:I6"/>
    <mergeCell ref="H7:I7"/>
    <mergeCell ref="H8:I8"/>
    <mergeCell ref="C6:E6"/>
    <mergeCell ref="C7:E7"/>
    <mergeCell ref="C8:E8"/>
    <mergeCell ref="G33:J34"/>
  </mergeCells>
  <phoneticPr fontId="16" type="noConversion"/>
  <dataValidations count="20">
    <dataValidation type="whole" operator="greaterThanOrEqual" allowBlank="1" showInputMessage="1" showErrorMessage="1" sqref="K14:K22" xr:uid="{1F90A018-5486-4FC8-AA91-8E7E021836C2}">
      <formula1>0</formula1>
    </dataValidation>
    <dataValidation type="decimal" operator="greaterThanOrEqual" showInputMessage="1" showErrorMessage="1" error="Erreur; le nombre de salles ou de bâtiments ou d'étages existants ne peut dépasser le nombre total" sqref="I32:J32 K14:K22 K24:K32" xr:uid="{FE8B2DBF-4F7E-4BB0-B936-ACE1E9FDB4E9}">
      <formula1>0</formula1>
    </dataValidation>
    <dataValidation type="whole" allowBlank="1" showInputMessage="1" showErrorMessage="1" promptTitle="Sicherheit" prompt="1 einfache Firewall über Internetverbindung zur Verwaltung des internen Datenverkehrs (VLAN)_x000a_inklusive Installation_x000a_ohne Jahresabonnement (Filterung über den Swisscom SAI Internetzugang)" sqref="C16:E16" xr:uid="{F32C19CA-1A2D-534B-9331-C9391F02878D}">
      <formula1>0</formula1>
      <formula2>B16</formula2>
    </dataValidation>
    <dataValidation operator="greaterThanOrEqual" showInputMessage="1" showErrorMessage="1" error="Erreur; le nombre de salles ou de bâtiments ou d'étages existants ne peut dépasser le nombre total" sqref="I11:I18 F11:H11 K19 G20 E5 G22 G17:G18 G32:G33 F32:K32 F37:F1048576 J6:K8 K14:K16 I7:I8 F1:I5 F9:I10 A6:A8 G35:I1048576" xr:uid="{06523116-FC6B-E048-AB7F-E61EC1EA74EB}"/>
    <dataValidation type="whole" allowBlank="1" showInputMessage="1" showErrorMessage="1" promptTitle="Globale Verwaltung WLAN-Systems" prompt="Cloud Controller = 1x für die gesamte Einrichtung._x000a_Einmalige Installationskosten + monatliche Kosten" sqref="C21:E21" xr:uid="{D420D545-F151-014E-9720-3B6686DBFBBF}">
      <formula1>0</formula1>
      <formula2>B21</formula2>
    </dataValidation>
    <dataValidation allowBlank="1" showInputMessage="1" showErrorMessage="1" promptTitle="Wartungsvertrag für das Netzwerk" prompt="basierend auf der Anzahl der Switches + Firewall" sqref="C19:E19" xr:uid="{D9A08AAF-34C6-AB49-9E6E-D40817DABEEE}"/>
    <dataValidation type="whole" allowBlank="1" showInputMessage="1" showErrorMessage="1" promptTitle="Internetverbindung" prompt="Swisscom SAI-Angebot: monatliche Kosten 0 CHF._x000a_+ Installationskosten pro Anbieter" sqref="C14:E14" xr:uid="{DCC71F58-8FA5-8645-80E0-6E8D8C4B8902}">
      <formula1>0</formula1>
      <formula2>B14</formula2>
    </dataValidation>
    <dataValidation type="whole" operator="greaterThanOrEqual" allowBlank="1" showInputMessage="1" showErrorMessage="1" promptTitle="Aufbewahrungssystem" prompt="Nur für Primarschulen._x000a_Geben Sie die Details (Modelle und Mengen) auf der Registerkarte „1 Logistische Daten“ für jedes Gebäude ein." sqref="C31:E31" xr:uid="{71791DDB-27AA-954F-800C-0F032B61D97D}">
      <formula1>0</formula1>
    </dataValidation>
    <dataValidation allowBlank="1" showInputMessage="1" showErrorMessage="1" promptTitle="Filterung des Internetzugangs" prompt="Angebot von Swisscom SAI_x000a_1x „Managed Security“ pro Internetverbindung: monatliche Kosten CHF 30._x000a_+ Installationskosten pro Swisscom-Partner" sqref="C15:E15" xr:uid="{8625B982-1357-4FBC-BC90-C097FC283FC5}"/>
    <dataValidation allowBlank="1" showInputMessage="1" showErrorMessage="1" promptTitle="Geschätzte Anzahl von Switches" prompt="basierend auf einem einzigen mittleren Modell mit 24 Ports pro Vereinfachung. _x000a_Ein Switch kann mehrere obere Etagen bedienen, wenn die Anzahl der Verbindungen einen dedizierten Switch nicht rechtfertigt. _x000a_Andere Regelungen gemäß den lokalen Bedingungen." sqref="C17:E17" xr:uid="{2A6273AF-38B4-420A-B91D-768E424DC851}"/>
    <dataValidation allowBlank="1" showInputMessage="1" showErrorMessage="1" promptTitle="Schrank f. Switch.+Verkabelung" prompt="1x pro Etage, in der sich mindestens 1 Switch befindet" sqref="C18:E18" xr:uid="{F085D47A-86D1-4D3D-96E4-5C2B6CF02AC0}"/>
    <dataValidation allowBlank="1" showInputMessage="1" showErrorMessage="1" promptTitle="WLAN-Zugangspunkte" prompt="1x pro Klassenzimmer und Spezialraum_x000a_+ 1x für WLAN-Stationen und -Plätze (z.B. Lehrerzimmer, Büro...)" sqref="C20:E20" xr:uid="{2C72C2DD-B820-4FC5-A136-717F3225B148}"/>
    <dataValidation allowBlank="1" showInputMessage="1" showErrorMessage="1" promptTitle="Netzwerkverbindung" prompt="Netzwerkbuchsen, Kabel und Anschluss an Switches:_x000a_3x pro Klassenzimmer und Spezial, _x000a_+ 1x pro verkabeltem Platz und Gerät, _x000a_+ 1x für WLAN-Plätze und -Geräte" sqref="C22:E22" xr:uid="{38A73816-7F5E-4858-8634-5210D7A607DD}"/>
    <dataValidation allowBlank="1" showInputMessage="1" showErrorMessage="1" promptTitle="Projektionssystem" prompt="1 Anlage (nicht interaktiv, gemäß Arbeiten der CIIP, November 2018) pro Klassen- und Sonderraum: Standard- oder Ultra-Kurzdistanz-Beamer; LED-TV-Bildschirm inkl. Installation." sqref="C24:E24" xr:uid="{57CDD701-CA02-4DCA-9533-4CC9D41B76F0}"/>
    <dataValidation allowBlank="1" showInputMessage="1" showErrorMessage="1" promptTitle="Audiosystem" prompt="1 Soundbar (oder ein Paar Lautsprecher, die an der Tafel befestigt sind) pro Klassen- oder Sonderraum" sqref="C25:E25" xr:uid="{2D976C21-AC17-48E6-8B73-04DAD77CD76A}"/>
    <dataValidation allowBlank="1" showInputMessage="1" showErrorMessage="1" promptTitle="Dokumentenkamera" prompt="1 Gerät pro Raum" sqref="C26:E26" xr:uid="{82341118-EB50-4CD4-8E31-9E013E892A9F}"/>
    <dataValidation allowBlank="1" showInputMessage="1" showErrorMessage="1" promptTitle="Drahtlose Audio+Video-Übertrag." prompt="1 drahtloser Bild- und Tonempfänger pro Raum (Multinorm-Gerät Airplay, Miracast, Chromecast)" sqref="C27:E27" xr:uid="{BA32383A-9323-45A5-9AF3-60EA0AD5307F}"/>
    <dataValidation allowBlank="1" showInputMessage="1" showErrorMessage="1" promptTitle="Docking für das Büro" prompt="Kombinierter Adapter für die Stromversorgung von persönlichen Geräten, Anschlüsse für USB-Geräte, HDMI-Videokabel, Netzwerkkabel." sqref="C28:E28" xr:uid="{A1E53CD6-5F08-4A6F-98B0-1377E030EB54}"/>
    <dataValidation allowBlank="1" showInputMessage="1" showErrorMessage="1" promptTitle="Kleine Geräte" prompt="1 Set pro Saal: Reservekabel und -adapter, Kopfhörer..." sqref="C29:E29" xr:uid="{6A91996B-8B8D-42C9-8151-860C70DD9D50}"/>
    <dataValidation allowBlank="1" showInputMessage="1" showErrorMessage="1" promptTitle="Kopfhörer + Mikrofon für Schüler" prompt="USB-C-Modell für das iPad, sonst Standardmodell mit „Jack“-Buchse" sqref="C30:E30" xr:uid="{61BA4E67-CB8F-4A96-8481-2F27B282F710}"/>
  </dataValidations>
  <printOptions horizontalCentered="1"/>
  <pageMargins left="0.25" right="0.25" top="1" bottom="0.75" header="0.55000000000000004" footer="0.3"/>
  <pageSetup paperSize="9" scale="89" orientation="landscape" r:id="rId3"/>
  <headerFooter scaleWithDoc="0">
    <oddHeader>&amp;C&amp;F</oddHeader>
    <oddFooter>&amp;L&amp;"Calibri,Normal"&amp;K000000Version 1.2 / Centre de compétences Fritic &amp;C&amp;"Calibri,Normal"&amp;K000000&amp;A&amp;R&amp;"Calibri,Normal"&amp;K000000Imprimé le &amp;D</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FEBD-E32E-45C2-935F-5F48F01CB346}">
  <sheetPr>
    <pageSetUpPr fitToPage="1"/>
  </sheetPr>
  <dimension ref="A1:G43"/>
  <sheetViews>
    <sheetView zoomScale="130" zoomScaleNormal="130" workbookViewId="0">
      <selection activeCell="C10" sqref="C10"/>
    </sheetView>
  </sheetViews>
  <sheetFormatPr baseColWidth="10" defaultColWidth="11.5" defaultRowHeight="15" x14ac:dyDescent="0.2"/>
  <cols>
    <col min="1" max="1" width="51.5" style="1" customWidth="1"/>
    <col min="2" max="2" width="13" style="1" bestFit="1" customWidth="1"/>
    <col min="3" max="3" width="16.5" style="1" bestFit="1" customWidth="1"/>
    <col min="4" max="4" width="64.5" style="67" customWidth="1"/>
    <col min="5" max="5" width="61" style="1" customWidth="1"/>
  </cols>
  <sheetData>
    <row r="1" spans="1:5" x14ac:dyDescent="0.2">
      <c r="B1" s="86"/>
      <c r="C1" s="86"/>
    </row>
    <row r="2" spans="1:5" x14ac:dyDescent="0.2">
      <c r="A2" s="1" t="s">
        <v>214</v>
      </c>
      <c r="C2" s="86"/>
    </row>
    <row r="3" spans="1:5" x14ac:dyDescent="0.2">
      <c r="B3" s="86" t="s">
        <v>215</v>
      </c>
      <c r="C3" s="86" t="s">
        <v>216</v>
      </c>
      <c r="D3" s="67" t="s">
        <v>217</v>
      </c>
      <c r="E3" s="1" t="s">
        <v>218</v>
      </c>
    </row>
    <row r="4" spans="1:5" ht="14.5" customHeight="1" x14ac:dyDescent="0.2">
      <c r="A4" s="68" t="s">
        <v>219</v>
      </c>
      <c r="B4" s="69"/>
      <c r="C4" s="69"/>
      <c r="D4" s="70"/>
      <c r="E4" s="70"/>
    </row>
    <row r="5" spans="1:5" ht="64" x14ac:dyDescent="0.2">
      <c r="A5" s="3" t="s">
        <v>220</v>
      </c>
      <c r="B5" s="71"/>
      <c r="C5" s="72">
        <v>500</v>
      </c>
      <c r="D5" s="67" t="s">
        <v>221</v>
      </c>
      <c r="E5" s="3" t="s">
        <v>222</v>
      </c>
    </row>
    <row r="6" spans="1:5" ht="32" x14ac:dyDescent="0.2">
      <c r="A6" s="3" t="s">
        <v>223</v>
      </c>
      <c r="B6" s="73">
        <f>12*30</f>
        <v>360</v>
      </c>
      <c r="C6" s="71">
        <v>700</v>
      </c>
      <c r="D6" s="67" t="s">
        <v>224</v>
      </c>
      <c r="E6" s="3" t="s">
        <v>225</v>
      </c>
    </row>
    <row r="7" spans="1:5" ht="16" x14ac:dyDescent="0.2">
      <c r="A7" s="3" t="s">
        <v>226</v>
      </c>
      <c r="B7" s="73"/>
      <c r="C7" s="71">
        <f>700+600</f>
        <v>1300</v>
      </c>
      <c r="E7" s="5" t="s">
        <v>227</v>
      </c>
    </row>
    <row r="8" spans="1:5" ht="32" x14ac:dyDescent="0.2">
      <c r="A8" s="3" t="s">
        <v>228</v>
      </c>
      <c r="B8" s="71"/>
      <c r="C8" s="72">
        <f>MROUND(750+2*150,500)</f>
        <v>1000</v>
      </c>
      <c r="D8" s="67" t="s">
        <v>229</v>
      </c>
      <c r="E8" s="1" t="s">
        <v>230</v>
      </c>
    </row>
    <row r="9" spans="1:5" ht="17.25" customHeight="1" x14ac:dyDescent="0.2">
      <c r="A9" s="3" t="s">
        <v>231</v>
      </c>
      <c r="B9" s="71"/>
      <c r="C9" s="72">
        <f>MROUND(1500+2.5*150,500)</f>
        <v>2000</v>
      </c>
      <c r="D9" s="67" t="s">
        <v>229</v>
      </c>
      <c r="E9" s="1" t="s">
        <v>232</v>
      </c>
    </row>
    <row r="10" spans="1:5" ht="17.25" customHeight="1" x14ac:dyDescent="0.2">
      <c r="A10" s="3" t="s">
        <v>233</v>
      </c>
      <c r="B10" s="71"/>
      <c r="C10" s="72">
        <f>MROUND(3000+3*150,500)</f>
        <v>3500</v>
      </c>
      <c r="D10" s="67" t="s">
        <v>229</v>
      </c>
      <c r="E10" s="1" t="s">
        <v>234</v>
      </c>
    </row>
    <row r="11" spans="1:5" ht="17.25" customHeight="1" x14ac:dyDescent="0.2">
      <c r="A11" s="3" t="s">
        <v>235</v>
      </c>
      <c r="B11" s="71"/>
      <c r="C11" s="72"/>
      <c r="E11" s="1" t="s">
        <v>236</v>
      </c>
    </row>
    <row r="12" spans="1:5" ht="16" x14ac:dyDescent="0.2">
      <c r="A12" s="3" t="s">
        <v>237</v>
      </c>
      <c r="B12" s="71"/>
      <c r="C12" s="72">
        <v>500</v>
      </c>
      <c r="E12" s="1" t="s">
        <v>238</v>
      </c>
    </row>
    <row r="13" spans="1:5" ht="16" x14ac:dyDescent="0.2">
      <c r="A13" s="3" t="s">
        <v>239</v>
      </c>
      <c r="B13" s="71">
        <v>200</v>
      </c>
      <c r="C13" s="71"/>
      <c r="D13" s="67" t="s">
        <v>240</v>
      </c>
      <c r="E13" s="1" t="s">
        <v>241</v>
      </c>
    </row>
    <row r="14" spans="1:5" ht="16" x14ac:dyDescent="0.2">
      <c r="A14" s="3" t="s">
        <v>242</v>
      </c>
      <c r="B14" s="71"/>
      <c r="C14" s="72">
        <f>700+150</f>
        <v>850</v>
      </c>
      <c r="D14" s="67" t="s">
        <v>243</v>
      </c>
      <c r="E14" s="1" t="s">
        <v>244</v>
      </c>
    </row>
    <row r="15" spans="1:5" ht="16" x14ac:dyDescent="0.2">
      <c r="A15" s="3" t="s">
        <v>245</v>
      </c>
      <c r="B15" s="72">
        <v>300</v>
      </c>
      <c r="C15" s="71">
        <f>4*150</f>
        <v>600</v>
      </c>
      <c r="D15" s="67" t="s">
        <v>246</v>
      </c>
      <c r="E15" s="1" t="s">
        <v>247</v>
      </c>
    </row>
    <row r="16" spans="1:5" ht="16" x14ac:dyDescent="0.2">
      <c r="A16" s="3" t="s">
        <v>248</v>
      </c>
      <c r="B16" s="71"/>
      <c r="C16" s="71">
        <v>500</v>
      </c>
    </row>
    <row r="17" spans="1:7" ht="16" x14ac:dyDescent="0.2">
      <c r="A17" s="74" t="s">
        <v>249</v>
      </c>
      <c r="B17" s="75"/>
      <c r="C17" s="75">
        <v>2000</v>
      </c>
      <c r="D17" s="76" t="s">
        <v>250</v>
      </c>
    </row>
    <row r="18" spans="1:7" x14ac:dyDescent="0.2">
      <c r="A18" s="68" t="s">
        <v>251</v>
      </c>
      <c r="B18" s="77"/>
      <c r="C18" s="77"/>
      <c r="D18" s="70"/>
    </row>
    <row r="19" spans="1:7" x14ac:dyDescent="0.2">
      <c r="A19" s="78" t="s">
        <v>252</v>
      </c>
      <c r="B19" s="79"/>
      <c r="C19" s="79">
        <v>300</v>
      </c>
      <c r="D19" s="80" t="s">
        <v>253</v>
      </c>
    </row>
    <row r="20" spans="1:7" x14ac:dyDescent="0.2">
      <c r="A20" s="78" t="s">
        <v>254</v>
      </c>
      <c r="B20" s="79"/>
      <c r="C20" s="79">
        <v>700</v>
      </c>
      <c r="D20" s="80" t="s">
        <v>255</v>
      </c>
    </row>
    <row r="21" spans="1:7" ht="16" x14ac:dyDescent="0.2">
      <c r="A21" s="74" t="s">
        <v>256</v>
      </c>
      <c r="B21" s="79"/>
      <c r="C21" s="79">
        <v>500</v>
      </c>
      <c r="D21" s="76"/>
    </row>
    <row r="22" spans="1:7" x14ac:dyDescent="0.2">
      <c r="A22" s="68" t="s">
        <v>257</v>
      </c>
      <c r="B22" s="77"/>
      <c r="C22" s="77"/>
      <c r="D22" s="70"/>
    </row>
    <row r="23" spans="1:7" x14ac:dyDescent="0.2">
      <c r="A23" s="1" t="s">
        <v>258</v>
      </c>
      <c r="B23" s="71"/>
      <c r="C23" s="71">
        <v>5000</v>
      </c>
      <c r="D23" s="67" t="s">
        <v>259</v>
      </c>
    </row>
    <row r="24" spans="1:7" x14ac:dyDescent="0.2">
      <c r="A24" s="1" t="s">
        <v>260</v>
      </c>
      <c r="B24" s="71"/>
      <c r="C24" s="71">
        <v>500</v>
      </c>
      <c r="D24" s="67" t="s">
        <v>261</v>
      </c>
    </row>
    <row r="25" spans="1:7" x14ac:dyDescent="0.2">
      <c r="A25" s="1" t="s">
        <v>262</v>
      </c>
      <c r="B25" s="71"/>
      <c r="C25" s="71">
        <v>700</v>
      </c>
      <c r="D25" s="67" t="s">
        <v>263</v>
      </c>
    </row>
    <row r="26" spans="1:7" x14ac:dyDescent="0.2">
      <c r="A26" s="1" t="s">
        <v>264</v>
      </c>
      <c r="B26" s="71"/>
      <c r="C26" s="71">
        <v>400</v>
      </c>
      <c r="D26" s="81" t="s">
        <v>265</v>
      </c>
      <c r="E26" s="1" t="s">
        <v>266</v>
      </c>
    </row>
    <row r="27" spans="1:7" x14ac:dyDescent="0.2">
      <c r="A27" s="1" t="s">
        <v>267</v>
      </c>
      <c r="B27" s="71"/>
      <c r="C27" s="71">
        <v>300</v>
      </c>
      <c r="E27" s="5" t="s">
        <v>268</v>
      </c>
    </row>
    <row r="28" spans="1:7" x14ac:dyDescent="0.2">
      <c r="A28" s="1" t="s">
        <v>269</v>
      </c>
      <c r="B28" s="71"/>
      <c r="C28" s="71">
        <v>300</v>
      </c>
    </row>
    <row r="29" spans="1:7" x14ac:dyDescent="0.2">
      <c r="A29" s="1" t="s">
        <v>270</v>
      </c>
      <c r="B29" s="71"/>
      <c r="C29" s="71">
        <v>1154</v>
      </c>
      <c r="D29" s="67" t="s">
        <v>271</v>
      </c>
    </row>
    <row r="30" spans="1:7" x14ac:dyDescent="0.2">
      <c r="A30" s="1" t="s">
        <v>272</v>
      </c>
      <c r="B30" s="71"/>
      <c r="C30" s="71">
        <v>20</v>
      </c>
      <c r="E30" s="5" t="s">
        <v>273</v>
      </c>
    </row>
    <row r="31" spans="1:7" x14ac:dyDescent="0.2">
      <c r="A31" s="1" t="s">
        <v>274</v>
      </c>
      <c r="B31" s="71"/>
      <c r="C31" s="71">
        <v>30</v>
      </c>
      <c r="E31" s="5" t="s">
        <v>275</v>
      </c>
    </row>
    <row r="32" spans="1:7" x14ac:dyDescent="0.2">
      <c r="A32" s="68" t="s">
        <v>276</v>
      </c>
      <c r="B32" s="77"/>
      <c r="C32" s="77"/>
      <c r="D32" s="70"/>
      <c r="E32" s="1" t="s">
        <v>277</v>
      </c>
      <c r="F32" t="s">
        <v>278</v>
      </c>
      <c r="G32" t="s">
        <v>279</v>
      </c>
    </row>
    <row r="33" spans="1:7" x14ac:dyDescent="0.2">
      <c r="A33" s="1" t="s">
        <v>280</v>
      </c>
      <c r="B33" s="73">
        <v>3200</v>
      </c>
      <c r="C33" s="82"/>
      <c r="D33" s="67" t="s">
        <v>281</v>
      </c>
      <c r="E33" s="1">
        <f>ROUNDUP(220*12*1.07,-1)</f>
        <v>2830</v>
      </c>
      <c r="F33">
        <f>ROUNDUP(280*12*1.07,-1)</f>
        <v>3600</v>
      </c>
      <c r="G33">
        <f>(E33+F33)/2</f>
        <v>3215</v>
      </c>
    </row>
    <row r="34" spans="1:7" x14ac:dyDescent="0.2">
      <c r="A34" s="68" t="s">
        <v>282</v>
      </c>
      <c r="B34" s="77"/>
      <c r="C34" s="77"/>
      <c r="D34" s="70"/>
    </row>
    <row r="35" spans="1:7" x14ac:dyDescent="0.2">
      <c r="A35" s="1" t="s">
        <v>283</v>
      </c>
      <c r="B35" s="71"/>
      <c r="C35" s="71">
        <v>960</v>
      </c>
      <c r="D35" s="67" t="s">
        <v>284</v>
      </c>
    </row>
    <row r="36" spans="1:7" x14ac:dyDescent="0.2">
      <c r="A36" s="68"/>
      <c r="B36" s="77"/>
      <c r="C36" s="77"/>
      <c r="D36" s="70"/>
    </row>
    <row r="37" spans="1:7" x14ac:dyDescent="0.2">
      <c r="B37" s="71"/>
      <c r="C37" s="71"/>
    </row>
    <row r="38" spans="1:7" x14ac:dyDescent="0.2">
      <c r="B38" s="71"/>
      <c r="C38" s="71"/>
    </row>
    <row r="39" spans="1:7" x14ac:dyDescent="0.2">
      <c r="A39" s="83"/>
      <c r="B39" s="71"/>
      <c r="C39" s="84"/>
    </row>
    <row r="40" spans="1:7" x14ac:dyDescent="0.2">
      <c r="B40" s="84"/>
      <c r="C40" s="71"/>
    </row>
    <row r="41" spans="1:7" x14ac:dyDescent="0.2">
      <c r="B41" s="85"/>
      <c r="C41" s="85"/>
    </row>
    <row r="42" spans="1:7" x14ac:dyDescent="0.2">
      <c r="B42" s="85"/>
      <c r="C42" s="85"/>
    </row>
    <row r="43" spans="1:7" x14ac:dyDescent="0.2">
      <c r="B43" s="85"/>
      <c r="C43" s="85"/>
    </row>
  </sheetData>
  <customSheetViews>
    <customSheetView guid="{2F7F83DD-5603-CE40-9872-ABF624ECE237}" scale="160" fitToPage="1">
      <selection activeCell="D9" sqref="D9"/>
      <pageMargins left="0" right="0" top="0" bottom="0" header="0" footer="0"/>
      <pageSetup paperSize="9" scale="82" orientation="landscape" r:id="rId1"/>
    </customSheetView>
    <customSheetView guid="{D932F249-B54E-D54C-B8F4-0256603E93D7}" scale="160" fitToPage="1">
      <selection activeCell="D9" sqref="D9"/>
      <pageMargins left="0" right="0" top="0" bottom="0" header="0" footer="0"/>
      <pageSetup paperSize="9" scale="82" orientation="landscape" r:id="rId2"/>
    </customSheetView>
  </customSheetViews>
  <hyperlinks>
    <hyperlink ref="E7" r:id="rId3" display="https://www.bechtle.com/ch-fr/shop/appliance-sonicwall-tz370--4523400-40--p" xr:uid="{DED8554D-9ED5-6040-B4DE-08B22B07DB54}"/>
    <hyperlink ref="E30" r:id="rId4" display="https://www.bechtle.com/ch-fr/shop/micro-casque-pc-bureau-hama-hs-p100--4071108--p" xr:uid="{C84F3A19-B314-3F45-AD0E-3C3276870F2B}"/>
    <hyperlink ref="E27" r:id="rId5" display="https://www.bechtle.com/ch-fr/finder/type-de-produit--station-d-accueil/prix--158--665?query=docking+&amp;sorting=p_asc" xr:uid="{FD0B8C56-84E2-3449-AA94-018B7FA88A01}"/>
    <hyperlink ref="E31" r:id="rId6" display="https://www.bechtle.com/ch-fr/shop/casque-kensington-usb-c-hifi--4529114--p" xr:uid="{EF2E8EE1-613D-2542-BEEB-006CF79D6E68}"/>
  </hyperlinks>
  <pageMargins left="0.7" right="0.7" top="0.75" bottom="0.75" header="0.3" footer="0.3"/>
  <pageSetup paperSize="9" scale="82" orientation="landscape"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0E5B4-F7A7-C842-8343-939A424D731A}">
  <dimension ref="A1:L55"/>
  <sheetViews>
    <sheetView topLeftCell="A22" zoomScale="140" zoomScaleNormal="140" workbookViewId="0">
      <selection activeCell="B63" sqref="B63"/>
    </sheetView>
  </sheetViews>
  <sheetFormatPr baseColWidth="10" defaultColWidth="11.5" defaultRowHeight="15" x14ac:dyDescent="0.2"/>
  <cols>
    <col min="1" max="1" width="22.5" customWidth="1"/>
    <col min="5" max="5" width="11.5" bestFit="1" customWidth="1"/>
  </cols>
  <sheetData>
    <row r="1" spans="1:12" x14ac:dyDescent="0.2">
      <c r="A1" s="47" t="s">
        <v>285</v>
      </c>
      <c r="B1" s="47"/>
      <c r="C1" s="47"/>
      <c r="D1" s="47"/>
      <c r="E1" s="47"/>
      <c r="H1" t="s">
        <v>286</v>
      </c>
    </row>
    <row r="2" spans="1:12" ht="16" x14ac:dyDescent="0.2">
      <c r="A2" s="20" t="s">
        <v>20</v>
      </c>
      <c r="B2" s="20" t="s">
        <v>21</v>
      </c>
      <c r="C2" s="20" t="s">
        <v>22</v>
      </c>
      <c r="D2" s="20" t="s">
        <v>23</v>
      </c>
      <c r="E2" s="20" t="s">
        <v>24</v>
      </c>
      <c r="H2" s="46" t="s">
        <v>287</v>
      </c>
      <c r="I2" s="46" t="s">
        <v>288</v>
      </c>
      <c r="J2" s="46" t="s">
        <v>289</v>
      </c>
      <c r="K2" s="46" t="s">
        <v>25</v>
      </c>
    </row>
    <row r="3" spans="1:12" x14ac:dyDescent="0.2">
      <c r="A3" s="48">
        <v>18.399999999999999</v>
      </c>
      <c r="B3" s="49">
        <v>18.899999999999999</v>
      </c>
      <c r="C3" s="49">
        <v>18.899999999999999</v>
      </c>
      <c r="D3" s="49">
        <v>18.899999999999999</v>
      </c>
      <c r="E3" s="50">
        <f>ROUND(K5,1)</f>
        <v>20.100000000000001</v>
      </c>
      <c r="H3" s="18">
        <v>3130</v>
      </c>
      <c r="I3" s="18">
        <v>5163</v>
      </c>
      <c r="J3" s="18">
        <v>4694</v>
      </c>
      <c r="K3">
        <f>SUM(H3:J3)</f>
        <v>12987</v>
      </c>
      <c r="L3" t="s">
        <v>290</v>
      </c>
    </row>
    <row r="4" spans="1:12" x14ac:dyDescent="0.2">
      <c r="A4" s="48">
        <v>27</v>
      </c>
      <c r="B4" s="49">
        <v>27</v>
      </c>
      <c r="C4" s="49">
        <v>27</v>
      </c>
      <c r="D4" s="49">
        <v>27</v>
      </c>
      <c r="E4" s="50">
        <v>27</v>
      </c>
      <c r="H4" s="51">
        <f>H3/$K3</f>
        <v>0.24101024101024102</v>
      </c>
      <c r="I4" s="51">
        <f t="shared" ref="I4:K4" si="0">I3/$K3</f>
        <v>0.39755139755139757</v>
      </c>
      <c r="J4" s="51">
        <f t="shared" si="0"/>
        <v>0.36143836143836144</v>
      </c>
      <c r="K4" s="51">
        <f t="shared" si="0"/>
        <v>1</v>
      </c>
      <c r="L4" t="s">
        <v>291</v>
      </c>
    </row>
    <row r="5" spans="1:12" x14ac:dyDescent="0.2">
      <c r="H5">
        <v>14.3</v>
      </c>
      <c r="I5">
        <v>21.4</v>
      </c>
      <c r="J5">
        <v>22.6</v>
      </c>
      <c r="K5" s="52">
        <f>H5*H4+I5*I4+J5*J4</f>
        <v>20.122553322553323</v>
      </c>
      <c r="L5" t="s">
        <v>292</v>
      </c>
    </row>
    <row r="6" spans="1:12" x14ac:dyDescent="0.2">
      <c r="H6">
        <v>21</v>
      </c>
      <c r="I6">
        <v>27</v>
      </c>
      <c r="J6">
        <v>29</v>
      </c>
      <c r="K6">
        <f>H6*H4+I6*I4+J6*J4</f>
        <v>26.276815276815277</v>
      </c>
      <c r="L6" t="s">
        <v>293</v>
      </c>
    </row>
    <row r="9" spans="1:12" x14ac:dyDescent="0.2">
      <c r="H9" s="18">
        <v>3130</v>
      </c>
      <c r="I9" s="18">
        <v>5163</v>
      </c>
      <c r="J9" s="18">
        <v>4694</v>
      </c>
    </row>
    <row r="13" spans="1:12" x14ac:dyDescent="0.2">
      <c r="H13" t="s">
        <v>294</v>
      </c>
      <c r="I13" t="s">
        <v>295</v>
      </c>
      <c r="J13" t="s">
        <v>296</v>
      </c>
      <c r="K13" t="s">
        <v>297</v>
      </c>
    </row>
    <row r="14" spans="1:12" x14ac:dyDescent="0.2">
      <c r="H14">
        <v>1</v>
      </c>
      <c r="I14">
        <v>402</v>
      </c>
      <c r="J14">
        <v>3731</v>
      </c>
      <c r="K14">
        <f>J14/I14</f>
        <v>9.2810945273631837</v>
      </c>
    </row>
    <row r="15" spans="1:12" x14ac:dyDescent="0.2">
      <c r="H15">
        <v>2</v>
      </c>
      <c r="I15">
        <v>403</v>
      </c>
      <c r="J15">
        <v>3805</v>
      </c>
      <c r="K15">
        <f t="shared" ref="K15:K24" si="1">J15/I15</f>
        <v>9.4416873449131522</v>
      </c>
    </row>
    <row r="16" spans="1:12" x14ac:dyDescent="0.2">
      <c r="H16">
        <v>3</v>
      </c>
      <c r="I16">
        <v>230</v>
      </c>
      <c r="J16">
        <v>3683</v>
      </c>
      <c r="K16">
        <f t="shared" si="1"/>
        <v>16.013043478260869</v>
      </c>
    </row>
    <row r="17" spans="1:11" x14ac:dyDescent="0.2">
      <c r="H17">
        <v>4</v>
      </c>
      <c r="I17">
        <v>229</v>
      </c>
      <c r="J17">
        <v>3823</v>
      </c>
      <c r="K17">
        <f t="shared" si="1"/>
        <v>16.694323144104803</v>
      </c>
    </row>
    <row r="18" spans="1:11" x14ac:dyDescent="0.2">
      <c r="A18" s="32" t="s">
        <v>298</v>
      </c>
      <c r="B18" s="40"/>
      <c r="C18" s="40"/>
      <c r="D18" s="40"/>
      <c r="E18" s="40"/>
      <c r="F18" s="33"/>
      <c r="H18">
        <v>5</v>
      </c>
      <c r="I18">
        <v>217</v>
      </c>
      <c r="J18">
        <v>3696</v>
      </c>
      <c r="K18">
        <f t="shared" si="1"/>
        <v>17.032258064516128</v>
      </c>
    </row>
    <row r="19" spans="1:11" ht="48" x14ac:dyDescent="0.2">
      <c r="A19" s="28"/>
      <c r="B19" s="34" t="s">
        <v>299</v>
      </c>
      <c r="C19" s="34" t="s">
        <v>300</v>
      </c>
      <c r="D19" s="34" t="s">
        <v>301</v>
      </c>
      <c r="E19" s="34" t="s">
        <v>302</v>
      </c>
      <c r="F19" s="35" t="s">
        <v>303</v>
      </c>
      <c r="H19">
        <v>6</v>
      </c>
      <c r="I19">
        <v>217</v>
      </c>
      <c r="J19">
        <v>3645</v>
      </c>
      <c r="K19">
        <f t="shared" si="1"/>
        <v>16.797235023041473</v>
      </c>
    </row>
    <row r="20" spans="1:11" x14ac:dyDescent="0.2">
      <c r="A20" s="29" t="s">
        <v>304</v>
      </c>
      <c r="B20" s="36">
        <v>0</v>
      </c>
      <c r="C20" s="36">
        <v>0</v>
      </c>
      <c r="D20" s="36">
        <v>0</v>
      </c>
      <c r="E20" s="36">
        <v>0.33</v>
      </c>
      <c r="F20" s="37">
        <v>0</v>
      </c>
      <c r="H20">
        <v>7</v>
      </c>
      <c r="I20">
        <v>221</v>
      </c>
      <c r="J20">
        <v>3587</v>
      </c>
      <c r="K20">
        <f t="shared" si="1"/>
        <v>16.23076923076923</v>
      </c>
    </row>
    <row r="21" spans="1:11" x14ac:dyDescent="0.2">
      <c r="A21" s="29" t="s">
        <v>305</v>
      </c>
      <c r="B21" s="36">
        <v>0.5</v>
      </c>
      <c r="C21" s="36"/>
      <c r="D21" s="36">
        <v>0</v>
      </c>
      <c r="E21" s="36"/>
      <c r="F21" s="37">
        <v>0.2</v>
      </c>
      <c r="H21">
        <v>8</v>
      </c>
      <c r="I21">
        <v>208</v>
      </c>
      <c r="J21">
        <v>3528</v>
      </c>
      <c r="K21">
        <f t="shared" si="1"/>
        <v>16.96153846153846</v>
      </c>
    </row>
    <row r="22" spans="1:11" x14ac:dyDescent="0.2">
      <c r="A22" s="29" t="s">
        <v>306</v>
      </c>
      <c r="B22" s="36">
        <v>0.5</v>
      </c>
      <c r="C22" s="36">
        <v>1</v>
      </c>
      <c r="D22" s="36">
        <v>1</v>
      </c>
      <c r="E22" s="36">
        <v>0.33</v>
      </c>
      <c r="F22" s="37">
        <v>0.4</v>
      </c>
      <c r="H22">
        <v>9</v>
      </c>
      <c r="I22">
        <v>239</v>
      </c>
      <c r="J22">
        <v>4322</v>
      </c>
      <c r="K22">
        <f t="shared" si="1"/>
        <v>18.0836820083682</v>
      </c>
    </row>
    <row r="23" spans="1:11" x14ac:dyDescent="0.2">
      <c r="A23" s="29" t="s">
        <v>307</v>
      </c>
      <c r="B23" s="36">
        <v>0</v>
      </c>
      <c r="C23" s="36">
        <v>0</v>
      </c>
      <c r="D23" s="36">
        <v>0</v>
      </c>
      <c r="E23" s="36">
        <v>0</v>
      </c>
      <c r="F23" s="37">
        <v>0.2</v>
      </c>
      <c r="H23">
        <v>10</v>
      </c>
      <c r="I23">
        <v>240</v>
      </c>
      <c r="J23">
        <v>4429</v>
      </c>
      <c r="K23">
        <f t="shared" si="1"/>
        <v>18.454166666666666</v>
      </c>
    </row>
    <row r="24" spans="1:11" x14ac:dyDescent="0.2">
      <c r="A24" s="31"/>
      <c r="B24" s="38">
        <f t="shared" ref="B24:F24" si="2">SUM(B20:B23)</f>
        <v>1</v>
      </c>
      <c r="C24" s="38">
        <f t="shared" si="2"/>
        <v>1</v>
      </c>
      <c r="D24" s="38">
        <f t="shared" si="2"/>
        <v>1</v>
      </c>
      <c r="E24" s="38">
        <f t="shared" si="2"/>
        <v>0.66</v>
      </c>
      <c r="F24" s="39">
        <f t="shared" si="2"/>
        <v>0.8</v>
      </c>
      <c r="H24">
        <v>11</v>
      </c>
      <c r="I24">
        <v>245</v>
      </c>
      <c r="J24">
        <v>4534</v>
      </c>
      <c r="K24">
        <f t="shared" si="1"/>
        <v>18.506122448979593</v>
      </c>
    </row>
    <row r="26" spans="1:11" x14ac:dyDescent="0.2">
      <c r="A26" s="42" t="s">
        <v>308</v>
      </c>
      <c r="B26" s="43" t="s">
        <v>309</v>
      </c>
      <c r="C26" s="43" t="s">
        <v>310</v>
      </c>
      <c r="H26" s="5" t="s">
        <v>311</v>
      </c>
    </row>
    <row r="27" spans="1:11" x14ac:dyDescent="0.2">
      <c r="A27" s="44" t="s">
        <v>312</v>
      </c>
      <c r="B27" s="30">
        <v>1800</v>
      </c>
      <c r="C27" s="5" t="s">
        <v>313</v>
      </c>
    </row>
    <row r="28" spans="1:11" x14ac:dyDescent="0.2">
      <c r="A28" s="44" t="s">
        <v>314</v>
      </c>
      <c r="B28" s="30">
        <v>2000</v>
      </c>
      <c r="C28" s="5" t="s">
        <v>315</v>
      </c>
    </row>
    <row r="29" spans="1:11" x14ac:dyDescent="0.2">
      <c r="A29" s="44" t="s">
        <v>316</v>
      </c>
      <c r="B29" s="30">
        <v>900</v>
      </c>
      <c r="C29" s="5" t="s">
        <v>317</v>
      </c>
    </row>
    <row r="30" spans="1:11" x14ac:dyDescent="0.2">
      <c r="A30" s="299" t="s">
        <v>318</v>
      </c>
      <c r="B30" s="300">
        <v>1000</v>
      </c>
      <c r="C30" s="5" t="s">
        <v>319</v>
      </c>
    </row>
    <row r="31" spans="1:11" x14ac:dyDescent="0.2">
      <c r="A31" s="299" t="s">
        <v>320</v>
      </c>
      <c r="B31" s="30">
        <v>1500</v>
      </c>
      <c r="C31" s="5"/>
    </row>
    <row r="33" spans="1:7" x14ac:dyDescent="0.2">
      <c r="A33" s="24" t="s">
        <v>321</v>
      </c>
      <c r="B33" s="25"/>
      <c r="C33" s="25"/>
      <c r="D33" s="25"/>
      <c r="E33" s="25"/>
    </row>
    <row r="34" spans="1:7" x14ac:dyDescent="0.2">
      <c r="A34" s="26"/>
      <c r="B34" s="27" t="s">
        <v>322</v>
      </c>
      <c r="C34" s="27" t="s">
        <v>323</v>
      </c>
      <c r="D34" s="27" t="s">
        <v>324</v>
      </c>
      <c r="E34" s="27" t="s">
        <v>325</v>
      </c>
    </row>
    <row r="35" spans="1:7" x14ac:dyDescent="0.2">
      <c r="A35" s="25" t="s">
        <v>304</v>
      </c>
      <c r="B35" s="25">
        <v>3</v>
      </c>
      <c r="C35" s="25">
        <v>15</v>
      </c>
      <c r="D35" s="25">
        <v>0.1</v>
      </c>
      <c r="E35" s="25">
        <v>0.1</v>
      </c>
    </row>
    <row r="36" spans="1:7" x14ac:dyDescent="0.2">
      <c r="A36" s="25" t="s">
        <v>305</v>
      </c>
      <c r="B36" s="25">
        <v>1.5</v>
      </c>
      <c r="C36" s="25">
        <v>3</v>
      </c>
      <c r="D36" s="25">
        <v>0.1</v>
      </c>
      <c r="E36" s="25">
        <v>0.1</v>
      </c>
    </row>
    <row r="37" spans="1:7" x14ac:dyDescent="0.2">
      <c r="A37" s="25" t="s">
        <v>306</v>
      </c>
      <c r="B37" s="25">
        <v>1</v>
      </c>
      <c r="C37" s="25">
        <v>2</v>
      </c>
      <c r="D37" s="25">
        <v>0.1</v>
      </c>
      <c r="E37" s="25">
        <v>0.1</v>
      </c>
    </row>
    <row r="38" spans="1:7" x14ac:dyDescent="0.2">
      <c r="A38" s="25" t="s">
        <v>307</v>
      </c>
      <c r="B38" s="25">
        <v>1</v>
      </c>
      <c r="C38" s="25">
        <v>4</v>
      </c>
      <c r="D38" s="25">
        <v>0.15</v>
      </c>
      <c r="E38" s="25">
        <v>2.5</v>
      </c>
    </row>
    <row r="41" spans="1:7" x14ac:dyDescent="0.2">
      <c r="A41" s="21" t="s">
        <v>326</v>
      </c>
      <c r="B41" s="4"/>
      <c r="C41" s="4"/>
      <c r="D41" s="4"/>
      <c r="E41" s="4"/>
    </row>
    <row r="42" spans="1:7" x14ac:dyDescent="0.2">
      <c r="A42" s="41"/>
      <c r="B42" s="41" t="s">
        <v>322</v>
      </c>
      <c r="C42" s="41" t="s">
        <v>323</v>
      </c>
      <c r="D42" s="41" t="s">
        <v>324</v>
      </c>
      <c r="E42" s="41" t="s">
        <v>327</v>
      </c>
    </row>
    <row r="43" spans="1:7" x14ac:dyDescent="0.2">
      <c r="A43" s="4" t="s">
        <v>328</v>
      </c>
      <c r="B43" s="23">
        <f>(B35*$B20+B36*$B21+B37*$B22+B38*$B23)</f>
        <v>1.25</v>
      </c>
      <c r="C43" s="23">
        <f>(C35*$B20+C36*$B21+C37*$B22+C38*$B23)</f>
        <v>2.5</v>
      </c>
      <c r="D43" s="23">
        <f>(D35*$B20+D36*$B21+D37*$B22+D38*$B23)</f>
        <v>0.1</v>
      </c>
      <c r="E43" s="23">
        <f>(E35*$B20+E36*$B21+E37*$B22+E38*$B23)</f>
        <v>0.1</v>
      </c>
    </row>
    <row r="44" spans="1:7" x14ac:dyDescent="0.2">
      <c r="A44" s="4" t="s">
        <v>329</v>
      </c>
      <c r="B44" s="23">
        <f>(B$35*$C$20+B$36*$C$21+B$37*$C$22+B$38*$C$23)</f>
        <v>1</v>
      </c>
      <c r="C44" s="23">
        <f>(C$35*$C$20+C$36*$C$21+C$37*$C$22+C$38*$C$23)</f>
        <v>2</v>
      </c>
      <c r="D44" s="23">
        <f>(D$35*$C$20+D$36*$C$21+D$37*$C$22+D$38*$C$23)</f>
        <v>0.1</v>
      </c>
      <c r="E44" s="23">
        <f>(E$35*$C$20+E$36*$C$21+E$37*$C$22+E$38*$C$23)</f>
        <v>0.1</v>
      </c>
      <c r="G44" s="19">
        <f>INDEX(BW_ELE_9_11H,1,2)</f>
        <v>2</v>
      </c>
    </row>
    <row r="45" spans="1:7" x14ac:dyDescent="0.2">
      <c r="A45" s="4" t="s">
        <v>330</v>
      </c>
      <c r="B45" s="23">
        <f>(B$35*$D$20+B$36*$D$21+B$37*$D$22+B$38*$D$23)</f>
        <v>1</v>
      </c>
      <c r="C45" s="23">
        <f>(C$35*$D$20+C$36*$D$21+C$37*$D$22+C$38*$D$23)</f>
        <v>2</v>
      </c>
      <c r="D45" s="23">
        <f>(D$35*$D$20+D$36*$D$21+D$37*$D$22+D$38*$D$23)</f>
        <v>0.1</v>
      </c>
      <c r="E45" s="23">
        <f>(E$35*$D$20+E$36*$D$21+E$37*$D$22+E$38*$D$23)</f>
        <v>0.1</v>
      </c>
      <c r="G45" s="19"/>
    </row>
    <row r="46" spans="1:7" x14ac:dyDescent="0.2">
      <c r="A46" s="4" t="s">
        <v>331</v>
      </c>
      <c r="B46" s="23">
        <f>ROUND(B35*$E20+B36*$E21+B37*$E22+B38*$E23,1)</f>
        <v>1.3</v>
      </c>
      <c r="C46" s="23">
        <f>ROUND(C35*$E20+C36*$E21+C37*$E22+C38*$E23,1)</f>
        <v>5.6</v>
      </c>
      <c r="D46" s="23">
        <f>ROUND(D35*$E20+D36*$E21+D37*$E22+D38*$E23,1)</f>
        <v>0.1</v>
      </c>
      <c r="E46" s="23">
        <f>ROUND(E35*$E20+E36*$E21+E37*$E22+E38*$E23,1)</f>
        <v>0.1</v>
      </c>
    </row>
    <row r="47" spans="1:7" x14ac:dyDescent="0.2">
      <c r="A47" s="4" t="s">
        <v>332</v>
      </c>
      <c r="B47" s="23">
        <f>ROUND(B35*$F20+B36*$F21+B37*$F22+B38*$F23,1)</f>
        <v>0.9</v>
      </c>
      <c r="C47" s="23">
        <f>ROUND(C35*$F20+C36*$F21+C37*$F22+C38*$F23,1)</f>
        <v>2.2000000000000002</v>
      </c>
      <c r="D47" s="23">
        <f>ROUND(D35*$F20+D36*$F21+D37*$F22+D38*$F23,1)</f>
        <v>0.1</v>
      </c>
      <c r="E47" s="23">
        <f>ROUND(E35*$F20+E36*$F21+E37*$F22+E38*$F23,1)</f>
        <v>0.6</v>
      </c>
    </row>
    <row r="49" spans="1:5" x14ac:dyDescent="0.2">
      <c r="B49" s="19"/>
      <c r="C49" s="19"/>
      <c r="D49" s="19"/>
      <c r="E49" s="19"/>
    </row>
    <row r="50" spans="1:5" x14ac:dyDescent="0.2">
      <c r="A50" s="21" t="s">
        <v>333</v>
      </c>
    </row>
    <row r="51" spans="1:5" x14ac:dyDescent="0.2">
      <c r="A51" s="4" t="s">
        <v>61</v>
      </c>
    </row>
    <row r="52" spans="1:5" x14ac:dyDescent="0.2">
      <c r="A52" s="4" t="s">
        <v>334</v>
      </c>
    </row>
    <row r="53" spans="1:5" x14ac:dyDescent="0.2">
      <c r="A53" s="4" t="s">
        <v>335</v>
      </c>
    </row>
    <row r="54" spans="1:5" x14ac:dyDescent="0.2">
      <c r="A54" s="4" t="s">
        <v>336</v>
      </c>
    </row>
    <row r="55" spans="1:5" x14ac:dyDescent="0.2">
      <c r="A55" s="4" t="s">
        <v>337</v>
      </c>
    </row>
  </sheetData>
  <customSheetViews>
    <customSheetView guid="{2F7F83DD-5603-CE40-9872-ABF624ECE237}" scale="140">
      <selection activeCell="A26" sqref="A26:B32"/>
      <pageMargins left="0" right="0" top="0" bottom="0" header="0" footer="0"/>
      <pageSetup paperSize="9" orientation="portrait" horizontalDpi="0" verticalDpi="0"/>
    </customSheetView>
    <customSheetView guid="{D932F249-B54E-D54C-B8F4-0256603E93D7}" scale="140">
      <selection activeCell="A26" sqref="A26:B32"/>
      <pageMargins left="0" right="0" top="0" bottom="0" header="0" footer="0"/>
      <pageSetup paperSize="9" orientation="portrait" horizontalDpi="0" verticalDpi="0"/>
    </customSheetView>
  </customSheetViews>
  <phoneticPr fontId="16" type="noConversion"/>
  <hyperlinks>
    <hyperlink ref="C27" r:id="rId1" display="https://www.dicota.com/euro_en/ladetrolley-fur-14-laptops-ch.html" xr:uid="{4A643622-B453-B74F-990B-7BE924774DD2}"/>
    <hyperlink ref="C28" r:id="rId2" display="https://www.dicota.com/euro_en/ladetrolley-fur-20-tablets-oder-ultrabooks-ch.html" xr:uid="{7F63322C-1408-B148-B319-4CB1B727A014}"/>
    <hyperlink ref="H26" r:id="rId3" display="https://www.digitec.ch/fr/s1/producttype/chariot-pour-notebook-3727?filter=23210%3D1386502&amp;so=5&amp;tagIds=614-653" xr:uid="{061BD66F-06B9-5D43-BA1D-E2726DC984E5}"/>
    <hyperlink ref="C29" r:id="rId4" display="https://www.bechtle.com/ch-fr/shop/compulocks-cartipad-solo-16-appareils--4462053--p" xr:uid="{FEE96CA0-05D6-EF42-A193-3A39B4F2FFC3}"/>
    <hyperlink ref="C30" r:id="rId5" display="https://www.dicota.com/euro_en/ladetrolley-fur-14-laptops-ch.html" xr:uid="{EAA4F7D0-76E3-4230-8565-D5953A45AF97}"/>
  </hyperlinks>
  <pageMargins left="0.7" right="0.7" top="0.75" bottom="0.75" header="0.3" footer="0.3"/>
  <pageSetup paperSize="9" orientation="portrait" horizontalDpi="0" verticalDpi="0"/>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C2D6-DFA9-7B42-BEF8-7067DC7BC686}">
  <sheetPr>
    <tabColor theme="5"/>
  </sheetPr>
  <dimension ref="A3:B23"/>
  <sheetViews>
    <sheetView zoomScale="120" zoomScaleNormal="120" workbookViewId="0">
      <selection activeCell="A6" sqref="A6"/>
    </sheetView>
  </sheetViews>
  <sheetFormatPr baseColWidth="10" defaultColWidth="11.5" defaultRowHeight="15" x14ac:dyDescent="0.2"/>
  <sheetData>
    <row r="3" spans="1:2" ht="19" x14ac:dyDescent="0.25">
      <c r="A3" s="22" t="s">
        <v>338</v>
      </c>
    </row>
    <row r="4" spans="1:2" x14ac:dyDescent="0.2">
      <c r="A4" t="s">
        <v>339</v>
      </c>
    </row>
    <row r="5" spans="1:2" x14ac:dyDescent="0.2">
      <c r="A5" s="45" t="s">
        <v>340</v>
      </c>
      <c r="B5" t="s">
        <v>341</v>
      </c>
    </row>
    <row r="6" spans="1:2" x14ac:dyDescent="0.2">
      <c r="A6" t="s">
        <v>342</v>
      </c>
    </row>
    <row r="7" spans="1:2" x14ac:dyDescent="0.2">
      <c r="A7" s="45" t="s">
        <v>343</v>
      </c>
    </row>
    <row r="8" spans="1:2" x14ac:dyDescent="0.2">
      <c r="A8" t="s">
        <v>344</v>
      </c>
    </row>
    <row r="9" spans="1:2" x14ac:dyDescent="0.2">
      <c r="A9" s="45" t="s">
        <v>343</v>
      </c>
    </row>
    <row r="10" spans="1:2" x14ac:dyDescent="0.2">
      <c r="A10" t="s">
        <v>345</v>
      </c>
    </row>
    <row r="11" spans="1:2" x14ac:dyDescent="0.2">
      <c r="A11" s="45" t="s">
        <v>343</v>
      </c>
    </row>
    <row r="14" spans="1:2" ht="19" x14ac:dyDescent="0.25">
      <c r="A14" s="22" t="s">
        <v>346</v>
      </c>
    </row>
    <row r="15" spans="1:2" x14ac:dyDescent="0.2">
      <c r="B15" t="s">
        <v>347</v>
      </c>
    </row>
    <row r="16" spans="1:2" x14ac:dyDescent="0.2">
      <c r="B16" s="87" t="s">
        <v>348</v>
      </c>
    </row>
    <row r="17" spans="1:2" x14ac:dyDescent="0.2">
      <c r="B17" s="87" t="s">
        <v>349</v>
      </c>
    </row>
    <row r="18" spans="1:2" x14ac:dyDescent="0.2">
      <c r="B18" s="87" t="s">
        <v>350</v>
      </c>
    </row>
    <row r="19" spans="1:2" x14ac:dyDescent="0.2">
      <c r="B19" s="87" t="s">
        <v>351</v>
      </c>
    </row>
    <row r="22" spans="1:2" ht="19" x14ac:dyDescent="0.25">
      <c r="A22" s="22" t="s">
        <v>352</v>
      </c>
    </row>
    <row r="23" spans="1:2" x14ac:dyDescent="0.2">
      <c r="A23" s="87" t="s">
        <v>353</v>
      </c>
    </row>
  </sheetData>
  <customSheetViews>
    <customSheetView guid="{2F7F83DD-5603-CE40-9872-ABF624ECE237}" scale="120">
      <selection activeCell="A8" sqref="A8"/>
      <pageMargins left="0" right="0" top="0" bottom="0" header="0" footer="0"/>
      <pageSetup paperSize="9" orientation="portrait" horizontalDpi="0" verticalDpi="0"/>
    </customSheetView>
    <customSheetView guid="{D932F249-B54E-D54C-B8F4-0256603E93D7}" scale="120">
      <selection activeCell="A8" sqref="A8"/>
      <pageMargins left="0" right="0" top="0" bottom="0" header="0" footer="0"/>
      <pageSetup paperSize="9" orientation="portrait" horizontalDpi="0" verticalDpi="0"/>
    </customSheetView>
  </customSheetView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196fa9d-606b-48fb-b098-ef81019cdd90">
      <UserInfo>
        <DisplayName>Bersier Christian</DisplayName>
        <AccountId>459</AccountId>
        <AccountType/>
      </UserInfo>
      <UserInfo>
        <DisplayName>Froidevaux Philippe</DisplayName>
        <AccountId>14</AccountId>
        <AccountType/>
      </UserInfo>
      <UserInfo>
        <DisplayName>Bex Thierry</DisplayName>
        <AccountId>384</AccountId>
        <AccountType/>
      </UserInfo>
    </SharedWithUsers>
    <lcf76f155ced4ddcb4097134ff3c332f xmlns="bdc6ecf8-0eaa-4660-a888-9f415e2496e4">
      <Terms xmlns="http://schemas.microsoft.com/office/infopath/2007/PartnerControls"/>
    </lcf76f155ced4ddcb4097134ff3c332f>
    <TaxCatchAll xmlns="e196fa9d-606b-48fb-b098-ef81019cdd90" xsi:nil="true"/>
    <Teachers xmlns="bdc6ecf8-0eaa-4660-a888-9f415e2496e4">
      <UserInfo>
        <DisplayName/>
        <AccountId xsi:nil="true"/>
        <AccountType/>
      </UserInfo>
    </Teachers>
    <Student_Groups xmlns="bdc6ecf8-0eaa-4660-a888-9f415e2496e4">
      <UserInfo>
        <DisplayName/>
        <AccountId xsi:nil="true"/>
        <AccountType/>
      </UserInfo>
    </Student_Groups>
    <Distribution_Groups xmlns="bdc6ecf8-0eaa-4660-a888-9f415e2496e4" xsi:nil="true"/>
    <Self_Registration_Enabled xmlns="bdc6ecf8-0eaa-4660-a888-9f415e2496e4" xsi:nil="true"/>
    <TeamsChannelId xmlns="bdc6ecf8-0eaa-4660-a888-9f415e2496e4" xsi:nil="true"/>
    <Invited_Teachers xmlns="bdc6ecf8-0eaa-4660-a888-9f415e2496e4" xsi:nil="true"/>
    <IsNotebookLocked xmlns="bdc6ecf8-0eaa-4660-a888-9f415e2496e4" xsi:nil="true"/>
    <NotebookType xmlns="bdc6ecf8-0eaa-4660-a888-9f415e2496e4" xsi:nil="true"/>
    <Students xmlns="bdc6ecf8-0eaa-4660-a888-9f415e2496e4">
      <UserInfo>
        <DisplayName/>
        <AccountId xsi:nil="true"/>
        <AccountType/>
      </UserInfo>
    </Students>
    <Has_Teacher_Only_SectionGroup xmlns="bdc6ecf8-0eaa-4660-a888-9f415e2496e4" xsi:nil="true"/>
    <DefaultSectionNames xmlns="bdc6ecf8-0eaa-4660-a888-9f415e2496e4" xsi:nil="true"/>
    <Is_Collaboration_Space_Locked xmlns="bdc6ecf8-0eaa-4660-a888-9f415e2496e4" xsi:nil="true"/>
    <Teams_Channel_Section_Location xmlns="bdc6ecf8-0eaa-4660-a888-9f415e2496e4" xsi:nil="true"/>
    <FolderType xmlns="bdc6ecf8-0eaa-4660-a888-9f415e2496e4" xsi:nil="true"/>
    <CultureName xmlns="bdc6ecf8-0eaa-4660-a888-9f415e2496e4" xsi:nil="true"/>
    <Owner xmlns="bdc6ecf8-0eaa-4660-a888-9f415e2496e4">
      <UserInfo>
        <DisplayName/>
        <AccountId xsi:nil="true"/>
        <AccountType/>
      </UserInfo>
    </Owner>
    <LMS_Mappings xmlns="bdc6ecf8-0eaa-4660-a888-9f415e2496e4" xsi:nil="true"/>
    <Invited_Students xmlns="bdc6ecf8-0eaa-4660-a888-9f415e2496e4" xsi:nil="true"/>
    <Math_Settings xmlns="bdc6ecf8-0eaa-4660-a888-9f415e2496e4" xsi:nil="true"/>
    <Templates xmlns="bdc6ecf8-0eaa-4660-a888-9f415e2496e4" xsi:nil="true"/>
    <AppVersion xmlns="bdc6ecf8-0eaa-4660-a888-9f415e2496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8FBCADA357BE479BFD7C8908B66D3D" ma:contentTypeVersion="39" ma:contentTypeDescription="Crée un document." ma:contentTypeScope="" ma:versionID="462de65af5653c09e98e39c9af155be6">
  <xsd:schema xmlns:xsd="http://www.w3.org/2001/XMLSchema" xmlns:xs="http://www.w3.org/2001/XMLSchema" xmlns:p="http://schemas.microsoft.com/office/2006/metadata/properties" xmlns:ns2="bdc6ecf8-0eaa-4660-a888-9f415e2496e4" xmlns:ns3="e196fa9d-606b-48fb-b098-ef81019cdd90" targetNamespace="http://schemas.microsoft.com/office/2006/metadata/properties" ma:root="true" ma:fieldsID="3f9c1f9a4e12cb3848449d609fd11e43" ns2:_="" ns3:_="">
    <xsd:import namespace="bdc6ecf8-0eaa-4660-a888-9f415e2496e4"/>
    <xsd:import namespace="e196fa9d-606b-48fb-b098-ef81019cd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Teams_Channel_Section_Locatio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6ecf8-0eaa-4660-a888-9f415e2496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fbd933d8-63e4-4f7e-90f6-66429bb13b47" ma:termSetId="09814cd3-568e-fe90-9814-8d621ff8fb84" ma:anchorId="fba54fb3-c3e1-fe81-a776-ca4b69148c4d" ma:open="true" ma:isKeyword="false">
      <xsd:complexType>
        <xsd:sequence>
          <xsd:element ref="pc:Terms" minOccurs="0" maxOccurs="1"/>
        </xsd:sequence>
      </xsd:complex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element name="MediaServiceObjectDetectorVersions" ma:index="44" nillable="true" ma:displayName="MediaServiceObjectDetectorVersions"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element name="MediaServiceLocation" ma:index="4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6fa9d-606b-48fb-b098-ef81019cdd90"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beec736c-672f-45af-89a6-defcc9eb5378}" ma:internalName="TaxCatchAll" ma:showField="CatchAllData" ma:web="e196fa9d-606b-48fb-b098-ef81019cd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91B1BC-F9E2-49E2-8683-DF6C4F0F906E}">
  <ds:schemaRefs>
    <ds:schemaRef ds:uri="http://schemas.microsoft.com/sharepoint/v3/contenttype/forms"/>
  </ds:schemaRefs>
</ds:datastoreItem>
</file>

<file path=customXml/itemProps2.xml><?xml version="1.0" encoding="utf-8"?>
<ds:datastoreItem xmlns:ds="http://schemas.openxmlformats.org/officeDocument/2006/customXml" ds:itemID="{B102C160-258C-41CB-B0C2-9B7A8AF1CBDA}">
  <ds:schemaRefs>
    <ds:schemaRef ds:uri="bdc6ecf8-0eaa-4660-a888-9f415e2496e4"/>
    <ds:schemaRef ds:uri="http://purl.org/dc/dcmitype/"/>
    <ds:schemaRef ds:uri="http://schemas.openxmlformats.org/package/2006/metadata/core-properties"/>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e196fa9d-606b-48fb-b098-ef81019cdd90"/>
    <ds:schemaRef ds:uri="http://schemas.microsoft.com/office/infopath/2007/PartnerControls"/>
  </ds:schemaRefs>
</ds:datastoreItem>
</file>

<file path=customXml/itemProps3.xml><?xml version="1.0" encoding="utf-8"?>
<ds:datastoreItem xmlns:ds="http://schemas.openxmlformats.org/officeDocument/2006/customXml" ds:itemID="{C613A53E-4737-421A-8778-BF1D2EBD8C48}"/>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Feuilles de calcul</vt:lpstr>
      </vt:variant>
      <vt:variant>
        <vt:i4>7</vt:i4>
      </vt:variant>
      <vt:variant>
        <vt:lpstr>Plages nommées</vt:lpstr>
      </vt:variant>
      <vt:variant>
        <vt:i4>78</vt:i4>
      </vt:variant>
    </vt:vector>
  </HeadingPairs>
  <TitlesOfParts>
    <vt:vector size="85" baseType="lpstr">
      <vt:lpstr>Beschreibung</vt:lpstr>
      <vt:lpstr>Gebrauchsanweisung</vt:lpstr>
      <vt:lpstr>1. Logistische Daten</vt:lpstr>
      <vt:lpstr>2. Kostenschätzugen techn Infra</vt:lpstr>
      <vt:lpstr>Prix unitaires</vt:lpstr>
      <vt:lpstr>Paramètres</vt:lpstr>
      <vt:lpstr>TODO</vt:lpstr>
      <vt:lpstr>BW_AUT_IN_MIN</vt:lpstr>
      <vt:lpstr>BW_AUT_IN_REC</vt:lpstr>
      <vt:lpstr>BW_AUT_OUT_MIN</vt:lpstr>
      <vt:lpstr>BW_AUT_OUT_REC</vt:lpstr>
      <vt:lpstr>BW_AUTRES</vt:lpstr>
      <vt:lpstr>BW_ELE_1_8H</vt:lpstr>
      <vt:lpstr>BW_ELE_9_11H</vt:lpstr>
      <vt:lpstr>BW_ELE_IN_MIN</vt:lpstr>
      <vt:lpstr>BW_ELE_IN_REC</vt:lpstr>
      <vt:lpstr>BW_ELE_OUT_MIN</vt:lpstr>
      <vt:lpstr>BW_ELE_OUT_REC</vt:lpstr>
      <vt:lpstr>BW_ENS_IN_MIN</vt:lpstr>
      <vt:lpstr>BW_ENS_IN_REC</vt:lpstr>
      <vt:lpstr>BW_ENS_OUT_MIN</vt:lpstr>
      <vt:lpstr>BW_ENS_OUT_REC</vt:lpstr>
      <vt:lpstr>BW_ENSEIGN</vt:lpstr>
      <vt:lpstr>BW_SALLE_INFO</vt:lpstr>
      <vt:lpstr>Coût_tirage_câble_Eth</vt:lpstr>
      <vt:lpstr>Couts_Annuels</vt:lpstr>
      <vt:lpstr>Couts_Annuels_Bruts</vt:lpstr>
      <vt:lpstr>Couts_Uniques_Initiaux</vt:lpstr>
      <vt:lpstr>Couts_Uniques_Initiaux_brut</vt:lpstr>
      <vt:lpstr>Couts_Uniques_Renouv</vt:lpstr>
      <vt:lpstr>Couts_Uniques_Renouv_Bruts</vt:lpstr>
      <vt:lpstr>Decal_vertical</vt:lpstr>
      <vt:lpstr>Dotation_Déterm_1_2H</vt:lpstr>
      <vt:lpstr>Dotation_Déterm_3_4H</vt:lpstr>
      <vt:lpstr>Dotation_Déterm_5_6H</vt:lpstr>
      <vt:lpstr>Dotation_Déterm_7_8H</vt:lpstr>
      <vt:lpstr>Dotation_Déterm_9_11H</vt:lpstr>
      <vt:lpstr>Dotation_Déterm_9_12H</vt:lpstr>
      <vt:lpstr>ElevePClasse_1_2H</vt:lpstr>
      <vt:lpstr>ElevePClasse_3_4H</vt:lpstr>
      <vt:lpstr>ElevePClasse_5_6H</vt:lpstr>
      <vt:lpstr>ElevePClasse_7_8H</vt:lpstr>
      <vt:lpstr>ElevePClasse_9_11H</vt:lpstr>
      <vt:lpstr>Intro_Internet</vt:lpstr>
      <vt:lpstr>Lst_Syst_Rang</vt:lpstr>
      <vt:lpstr>Max_ElevePClasse</vt:lpstr>
      <vt:lpstr>Max_ElevePClasse_1_2H</vt:lpstr>
      <vt:lpstr>Max_ElevePClasse_3_4H</vt:lpstr>
      <vt:lpstr>Max_ElevePClasse_5_6H</vt:lpstr>
      <vt:lpstr>Max_ElevePClasse_7_8H</vt:lpstr>
      <vt:lpstr>Max_ElevePClasse_9_11H</vt:lpstr>
      <vt:lpstr>Moy_ElevePClasse</vt:lpstr>
      <vt:lpstr>Moy_ElevePClasse_1_2H</vt:lpstr>
      <vt:lpstr>Moy_ElevePClasse_3_4H</vt:lpstr>
      <vt:lpstr>Moy_ElevePClasse_5_6H</vt:lpstr>
      <vt:lpstr>Moy_ElevePClasse_7_8H</vt:lpstr>
      <vt:lpstr>Moy_ElevePClasse_9_11H</vt:lpstr>
      <vt:lpstr>Nb_Bat</vt:lpstr>
      <vt:lpstr>Nb_Cla_Std</vt:lpstr>
      <vt:lpstr>Nb_Ele_9_11H</vt:lpstr>
      <vt:lpstr>Nb_Tot_Bat</vt:lpstr>
      <vt:lpstr>Nb_Tot_Eleves</vt:lpstr>
      <vt:lpstr>Nb_Tot_Etages</vt:lpstr>
      <vt:lpstr>Nb_Tot_Internet</vt:lpstr>
      <vt:lpstr>Nb_Tot_SallesDeClasse</vt:lpstr>
      <vt:lpstr>NbCables_Equiv_Switch</vt:lpstr>
      <vt:lpstr>Nom_Etablissement</vt:lpstr>
      <vt:lpstr>pas_vertical</vt:lpstr>
      <vt:lpstr>Syst_Rang</vt:lpstr>
      <vt:lpstr>Tot_Antennes_Wifi</vt:lpstr>
      <vt:lpstr>Tot_Armoire_réseau</vt:lpstr>
      <vt:lpstr>Tot_Connexions</vt:lpstr>
      <vt:lpstr>Tot_Cout_Syst_Rang_init</vt:lpstr>
      <vt:lpstr>Tot_Cout_Syst_Rang_renouv</vt:lpstr>
      <vt:lpstr>Tot_Equip_Elèves</vt:lpstr>
      <vt:lpstr>Tot_Switches</vt:lpstr>
      <vt:lpstr>Tot_Syst_Rang</vt:lpstr>
      <vt:lpstr>Tot_Syst_Rang_conserver</vt:lpstr>
      <vt:lpstr>Tot_Syst_Rang_nouveaux</vt:lpstr>
      <vt:lpstr>TotalEtages</vt:lpstr>
      <vt:lpstr>TotalSalles</vt:lpstr>
      <vt:lpstr>'1. Logistische Daten'!Zone_d_impression</vt:lpstr>
      <vt:lpstr>'2. Kostenschätzugen techn Infra'!Zone_d_impression</vt:lpstr>
      <vt:lpstr>Beschreibung!Zone_d_impression</vt:lpstr>
      <vt:lpstr>Gebrauchsanweisung!Zone_d_impression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Bersier Christian</dc:creator>
  <cp:keywords/>
  <dc:description/>
  <cp:lastModifiedBy>Portmann Thierry</cp:lastModifiedBy>
  <cp:revision/>
  <dcterms:created xsi:type="dcterms:W3CDTF">2021-09-15T07:40:49Z</dcterms:created>
  <dcterms:modified xsi:type="dcterms:W3CDTF">2025-07-09T08:31:56Z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0x0101000C8FBCADA357BE479BFD7C8908B66D3D</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