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tatfr-my.sharepoint.com/personal/raphael_becker_fr_ch/Documents/Provisoire/"/>
    </mc:Choice>
  </mc:AlternateContent>
  <xr:revisionPtr revIDLastSave="11" documentId="13_ncr:1_{CC80DAD6-4F88-4E73-BD07-48E0F01424AB}" xr6:coauthVersionLast="47" xr6:coauthVersionMax="47" xr10:uidLastSave="{CECAFBAB-5D27-4BB6-A5A5-30EE0E6D9BFC}"/>
  <bookViews>
    <workbookView xWindow="-120" yWindow="-120" windowWidth="29040" windowHeight="15720" xr2:uid="{00000000-000D-0000-FFFF-FFFF00000000}"/>
  </bookViews>
  <sheets>
    <sheet name="Überprüfung Grenzwerte" sheetId="1" r:id="rId1"/>
    <sheet name="Einstellungen" sheetId="2" r:id="rId2"/>
  </sheets>
  <definedNames>
    <definedName name="_xlnm.Print_Area" localSheetId="0">'Überprüfung Grenzwerte'!$B$1:$M$54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I38" i="1"/>
  <c r="J38" i="1"/>
  <c r="K38" i="1"/>
  <c r="L38" i="1"/>
  <c r="M38" i="1"/>
  <c r="E38" i="1"/>
  <c r="F38" i="1"/>
  <c r="G38" i="1"/>
  <c r="N44" i="1"/>
  <c r="N43" i="1"/>
  <c r="N42" i="1"/>
  <c r="N41" i="1"/>
  <c r="N40" i="1"/>
  <c r="E26" i="1" l="1"/>
  <c r="K22" i="2"/>
  <c r="K23" i="2"/>
  <c r="K24" i="2"/>
  <c r="K25" i="2"/>
  <c r="G37" i="1" l="1"/>
  <c r="I37" i="1"/>
  <c r="K37" i="1"/>
  <c r="M37" i="1"/>
  <c r="E37" i="1"/>
  <c r="K21" i="2" l="1"/>
  <c r="D11" i="2" l="1"/>
  <c r="D10" i="2"/>
  <c r="D9" i="2"/>
  <c r="D8" i="2"/>
  <c r="D7" i="2"/>
  <c r="E28" i="1" s="1"/>
  <c r="E40" i="1" s="1"/>
  <c r="E30" i="1" l="1"/>
  <c r="E42" i="1" s="1"/>
  <c r="E9" i="2"/>
  <c r="E29" i="1"/>
  <c r="E41" i="1" s="1"/>
  <c r="E8" i="2"/>
  <c r="E31" i="1"/>
  <c r="E43" i="1" s="1"/>
  <c r="E10" i="2"/>
  <c r="E7" i="2"/>
  <c r="K32" i="1"/>
  <c r="K44" i="1" s="1"/>
  <c r="E11" i="2"/>
  <c r="G31" i="1"/>
  <c r="G43" i="1" s="1"/>
  <c r="K28" i="1"/>
  <c r="K40" i="1" s="1"/>
  <c r="G32" i="1"/>
  <c r="G44" i="1" s="1"/>
  <c r="I31" i="1"/>
  <c r="I43" i="1" s="1"/>
  <c r="I32" i="1"/>
  <c r="I44" i="1" s="1"/>
  <c r="K31" i="1"/>
  <c r="K43" i="1" s="1"/>
  <c r="G30" i="1"/>
  <c r="G42" i="1" s="1"/>
  <c r="G29" i="1"/>
  <c r="G41" i="1" s="1"/>
  <c r="I28" i="1"/>
  <c r="I40" i="1" s="1"/>
  <c r="I30" i="1"/>
  <c r="I42" i="1" s="1"/>
  <c r="I29" i="1"/>
  <c r="I41" i="1" s="1"/>
  <c r="K30" i="1"/>
  <c r="K42" i="1" s="1"/>
  <c r="E32" i="1"/>
  <c r="E44" i="1" s="1"/>
  <c r="M32" i="1"/>
  <c r="M44" i="1" s="1"/>
  <c r="M30" i="1"/>
  <c r="M42" i="1" s="1"/>
  <c r="K29" i="1"/>
  <c r="K41" i="1" s="1"/>
  <c r="M31" i="1"/>
  <c r="M43" i="1" s="1"/>
  <c r="M29" i="1"/>
  <c r="M41" i="1" s="1"/>
  <c r="G28" i="1"/>
  <c r="G40" i="1" s="1"/>
  <c r="M28" i="1"/>
  <c r="M40" i="1" s="1"/>
  <c r="E50" i="1" l="1"/>
  <c r="F28" i="1"/>
  <c r="F40" i="1" s="1"/>
  <c r="L28" i="1"/>
  <c r="L40" i="1" s="1"/>
  <c r="H28" i="1"/>
  <c r="H40" i="1" s="1"/>
  <c r="J28" i="1"/>
  <c r="J40" i="1" s="1"/>
  <c r="L31" i="1"/>
  <c r="L43" i="1" s="1"/>
  <c r="H31" i="1"/>
  <c r="H43" i="1" s="1"/>
  <c r="F31" i="1"/>
  <c r="F43" i="1" s="1"/>
  <c r="J31" i="1"/>
  <c r="J43" i="1" s="1"/>
  <c r="J29" i="1"/>
  <c r="J41" i="1" s="1"/>
  <c r="F29" i="1"/>
  <c r="F41" i="1" s="1"/>
  <c r="L29" i="1"/>
  <c r="L41" i="1" s="1"/>
  <c r="H29" i="1"/>
  <c r="H41" i="1" s="1"/>
  <c r="L30" i="1"/>
  <c r="L42" i="1" s="1"/>
  <c r="J30" i="1"/>
  <c r="J42" i="1" s="1"/>
  <c r="H30" i="1"/>
  <c r="H42" i="1" s="1"/>
  <c r="F30" i="1"/>
  <c r="F42" i="1" s="1"/>
  <c r="F32" i="1"/>
  <c r="F44" i="1" s="1"/>
  <c r="L32" i="1"/>
  <c r="L44" i="1" s="1"/>
  <c r="J32" i="1"/>
  <c r="J44" i="1" s="1"/>
  <c r="H32" i="1"/>
  <c r="H44" i="1" s="1"/>
  <c r="E54" i="1"/>
  <c r="E51" i="1"/>
  <c r="E53" i="1"/>
  <c r="E52" i="1"/>
  <c r="G52" i="1" l="1"/>
  <c r="K52" i="1" s="1"/>
  <c r="G53" i="1"/>
  <c r="K53" i="1" s="1"/>
  <c r="G51" i="1"/>
  <c r="K51" i="1" s="1"/>
  <c r="G50" i="1"/>
  <c r="K50" i="1" s="1"/>
  <c r="G54" i="1"/>
  <c r="K54" i="1" s="1"/>
</calcChain>
</file>

<file path=xl/sharedStrings.xml><?xml version="1.0" encoding="utf-8"?>
<sst xmlns="http://schemas.openxmlformats.org/spreadsheetml/2006/main" count="144" uniqueCount="86">
  <si>
    <r>
      <t>Q</t>
    </r>
    <r>
      <rPr>
        <vertAlign val="subscript"/>
        <sz val="11"/>
        <color theme="1"/>
        <rFont val="Arial"/>
        <family val="2"/>
      </rPr>
      <t>347</t>
    </r>
  </si>
  <si>
    <t>l/s</t>
  </si>
  <si>
    <r>
      <t>A</t>
    </r>
    <r>
      <rPr>
        <vertAlign val="subscript"/>
        <sz val="11"/>
        <color theme="1"/>
        <rFont val="Arial"/>
        <family val="2"/>
      </rPr>
      <t>red</t>
    </r>
  </si>
  <si>
    <t>μg/l</t>
  </si>
  <si>
    <t>mg/l</t>
  </si>
  <si>
    <r>
      <t>Q</t>
    </r>
    <r>
      <rPr>
        <vertAlign val="subscript"/>
        <sz val="11"/>
        <color theme="1"/>
        <rFont val="Arial"/>
        <family val="2"/>
      </rPr>
      <t>95%</t>
    </r>
  </si>
  <si>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</rPr>
      <t>g/l</t>
    </r>
  </si>
  <si>
    <t>Pb</t>
  </si>
  <si>
    <t>Zn</t>
  </si>
  <si>
    <t>Cu</t>
  </si>
  <si>
    <t>%</t>
  </si>
  <si>
    <t>mm/h</t>
  </si>
  <si>
    <t>Strassenabwasserbehandlung</t>
  </si>
  <si>
    <t>Abschätzung der Schadstoffkonzentrationen im Gewässer</t>
  </si>
  <si>
    <t>Auszufüllende Felder:</t>
  </si>
  <si>
    <t>GEWÄSSER</t>
  </si>
  <si>
    <t>Bach</t>
  </si>
  <si>
    <t>Niedrigwasserabfluss</t>
  </si>
  <si>
    <t>EINLEITSTELLEN</t>
  </si>
  <si>
    <t>Strassenabwasser</t>
  </si>
  <si>
    <t>Strassenfläche</t>
  </si>
  <si>
    <t>Belastungspunkte</t>
  </si>
  <si>
    <t>BP</t>
  </si>
  <si>
    <t>Anforderungsstufe</t>
  </si>
  <si>
    <t>Einleitstelle 1</t>
  </si>
  <si>
    <t>Einleitstelle 2</t>
  </si>
  <si>
    <t>Einleitstelle 3</t>
  </si>
  <si>
    <t>Einleitstelle 4</t>
  </si>
  <si>
    <t>Einleitstelle 5</t>
  </si>
  <si>
    <t>Zu erwartende Konzentrationen im Strassenabwasser</t>
  </si>
  <si>
    <t>Blei</t>
  </si>
  <si>
    <t>Zink</t>
  </si>
  <si>
    <t>Kupfer</t>
  </si>
  <si>
    <t>Suspendierte Stoffe GUS</t>
  </si>
  <si>
    <t>Kohlenwasserstoffe PAK</t>
  </si>
  <si>
    <r>
      <t>K</t>
    </r>
    <r>
      <rPr>
        <vertAlign val="subscript"/>
        <sz val="11"/>
        <color theme="1"/>
        <rFont val="Arial"/>
        <family val="2"/>
      </rPr>
      <t>Abw,Pb</t>
    </r>
  </si>
  <si>
    <r>
      <t>K</t>
    </r>
    <r>
      <rPr>
        <vertAlign val="subscript"/>
        <sz val="11"/>
        <color theme="1"/>
        <rFont val="Arial"/>
        <family val="2"/>
      </rPr>
      <t>Abw,Zn</t>
    </r>
  </si>
  <si>
    <r>
      <t>K</t>
    </r>
    <r>
      <rPr>
        <vertAlign val="subscript"/>
        <sz val="11"/>
        <color theme="1"/>
        <rFont val="Arial"/>
        <family val="2"/>
      </rPr>
      <t>Abw,Cu</t>
    </r>
  </si>
  <si>
    <r>
      <t>K</t>
    </r>
    <r>
      <rPr>
        <vertAlign val="subscript"/>
        <sz val="11"/>
        <color theme="1"/>
        <rFont val="Arial"/>
        <family val="2"/>
      </rPr>
      <t>Abw,PAK</t>
    </r>
  </si>
  <si>
    <r>
      <t>K</t>
    </r>
    <r>
      <rPr>
        <vertAlign val="subscript"/>
        <sz val="11"/>
        <color theme="1"/>
        <rFont val="Arial"/>
        <family val="2"/>
      </rPr>
      <t>Abw,GUS</t>
    </r>
  </si>
  <si>
    <r>
      <t>K</t>
    </r>
    <r>
      <rPr>
        <vertAlign val="subscript"/>
        <sz val="11"/>
        <color theme="1"/>
        <rFont val="Arial"/>
        <family val="2"/>
      </rPr>
      <t>E,Pb</t>
    </r>
  </si>
  <si>
    <r>
      <t>K</t>
    </r>
    <r>
      <rPr>
        <vertAlign val="subscript"/>
        <sz val="11"/>
        <color theme="1"/>
        <rFont val="Arial"/>
        <family val="2"/>
      </rPr>
      <t>E,Zn</t>
    </r>
  </si>
  <si>
    <r>
      <t>K</t>
    </r>
    <r>
      <rPr>
        <vertAlign val="subscript"/>
        <sz val="11"/>
        <color theme="1"/>
        <rFont val="Arial"/>
        <family val="2"/>
      </rPr>
      <t>E,Cu</t>
    </r>
  </si>
  <si>
    <r>
      <t>K</t>
    </r>
    <r>
      <rPr>
        <vertAlign val="subscript"/>
        <sz val="11"/>
        <color theme="1"/>
        <rFont val="Arial"/>
        <family val="2"/>
      </rPr>
      <t>E,GUS</t>
    </r>
  </si>
  <si>
    <r>
      <t>K</t>
    </r>
    <r>
      <rPr>
        <vertAlign val="subscript"/>
        <sz val="11"/>
        <color theme="1"/>
        <rFont val="Arial"/>
        <family val="2"/>
      </rPr>
      <t>E,PAK</t>
    </r>
  </si>
  <si>
    <r>
      <t>K</t>
    </r>
    <r>
      <rPr>
        <vertAlign val="subscript"/>
        <sz val="11"/>
        <color theme="1"/>
        <rFont val="Arial"/>
        <family val="2"/>
      </rPr>
      <t>Gew,Pb</t>
    </r>
  </si>
  <si>
    <r>
      <t>K</t>
    </r>
    <r>
      <rPr>
        <vertAlign val="subscript"/>
        <sz val="11"/>
        <color theme="1"/>
        <rFont val="Arial"/>
        <family val="2"/>
      </rPr>
      <t>Gew,Zn</t>
    </r>
  </si>
  <si>
    <r>
      <t>K</t>
    </r>
    <r>
      <rPr>
        <vertAlign val="subscript"/>
        <sz val="11"/>
        <color theme="1"/>
        <rFont val="Arial"/>
        <family val="2"/>
      </rPr>
      <t>Gew,Cu</t>
    </r>
  </si>
  <si>
    <r>
      <t>K</t>
    </r>
    <r>
      <rPr>
        <vertAlign val="subscript"/>
        <sz val="11"/>
        <color theme="1"/>
        <rFont val="Arial"/>
        <family val="2"/>
      </rPr>
      <t>Gew,GUS</t>
    </r>
  </si>
  <si>
    <r>
      <t>K</t>
    </r>
    <r>
      <rPr>
        <vertAlign val="subscript"/>
        <sz val="11"/>
        <color theme="1"/>
        <rFont val="Arial"/>
        <family val="2"/>
      </rPr>
      <t>Gew,PAK</t>
    </r>
  </si>
  <si>
    <t>Abfluss an Einleitstelle</t>
  </si>
  <si>
    <t>Zu erwartende Konzentrationen nach Behandlung :</t>
  </si>
  <si>
    <t>Konzentrationen im Gewässer</t>
  </si>
  <si>
    <t>Wert</t>
  </si>
  <si>
    <t>Unsicherheit</t>
  </si>
  <si>
    <t>Grenze GschV</t>
  </si>
  <si>
    <t>Beurteilung</t>
  </si>
  <si>
    <r>
      <t>m</t>
    </r>
    <r>
      <rPr>
        <vertAlign val="superscript"/>
        <sz val="11"/>
        <color theme="1"/>
        <rFont val="Arial"/>
        <family val="2"/>
      </rPr>
      <t>2</t>
    </r>
  </si>
  <si>
    <t>TYPISCHE SCHMUTZSTOFFKONZENTRATIONEN IM STRASSENABWASSER</t>
  </si>
  <si>
    <t>Kantonsstrasse</t>
  </si>
  <si>
    <t>gemäss ASTRA 88002</t>
  </si>
  <si>
    <t>BP=</t>
  </si>
  <si>
    <r>
      <t>K</t>
    </r>
    <r>
      <rPr>
        <vertAlign val="subscript"/>
        <sz val="11"/>
        <color theme="1"/>
        <rFont val="Arial"/>
        <family val="2"/>
      </rPr>
      <t>BP,Pb</t>
    </r>
  </si>
  <si>
    <r>
      <t>K</t>
    </r>
    <r>
      <rPr>
        <vertAlign val="subscript"/>
        <sz val="11"/>
        <color theme="1"/>
        <rFont val="Arial"/>
        <family val="2"/>
      </rPr>
      <t>BP,Zn</t>
    </r>
  </si>
  <si>
    <r>
      <t>K</t>
    </r>
    <r>
      <rPr>
        <vertAlign val="subscript"/>
        <sz val="11"/>
        <color theme="1"/>
        <rFont val="Arial"/>
        <family val="2"/>
      </rPr>
      <t>BP,Cu</t>
    </r>
  </si>
  <si>
    <r>
      <t>K</t>
    </r>
    <r>
      <rPr>
        <vertAlign val="subscript"/>
        <sz val="11"/>
        <color theme="1"/>
        <rFont val="Arial"/>
        <family val="2"/>
      </rPr>
      <t>BP,GUS</t>
    </r>
  </si>
  <si>
    <r>
      <t>K</t>
    </r>
    <r>
      <rPr>
        <vertAlign val="subscript"/>
        <sz val="11"/>
        <color theme="1"/>
        <rFont val="Arial"/>
        <family val="2"/>
      </rPr>
      <t>BP,PAK</t>
    </r>
  </si>
  <si>
    <r>
      <t>(</t>
    </r>
    <r>
      <rPr>
        <sz val="11"/>
        <color theme="1"/>
        <rFont val="Calibri"/>
        <family val="2"/>
      </rPr>
      <t>μ</t>
    </r>
    <r>
      <rPr>
        <sz val="11"/>
        <color theme="1"/>
        <rFont val="Arial"/>
        <family val="2"/>
      </rPr>
      <t>g/l)/BP</t>
    </r>
  </si>
  <si>
    <t>(mg/l)/BP</t>
  </si>
  <si>
    <t>WIRKUNGSGRAD DER BEHANDLUNG</t>
  </si>
  <si>
    <t>GUS</t>
  </si>
  <si>
    <t>PAK</t>
  </si>
  <si>
    <t>% oder μg/l</t>
  </si>
  <si>
    <t>% oder mg/l</t>
  </si>
  <si>
    <t>Einheit</t>
  </si>
  <si>
    <t>personalisiert</t>
  </si>
  <si>
    <t>VSA erleichtert</t>
  </si>
  <si>
    <t>VSA standart</t>
  </si>
  <si>
    <t>VSA erhöht</t>
  </si>
  <si>
    <t>* Es wird eine Wirkung von 50% gegenüber Schwermetallen angenommen</t>
  </si>
  <si>
    <t>DIMENSIONIERUNGSREGEN UND UNSICHERHEIT AUF ABFLÜSSE</t>
  </si>
  <si>
    <t>Regenintensität</t>
  </si>
  <si>
    <t>Unsicherheit Abflüsse</t>
  </si>
  <si>
    <t>Manueller Abfluss (Optional)</t>
  </si>
  <si>
    <t>Typische Konzentrationen :</t>
  </si>
  <si>
    <t>Entlastetes Strassenabwasser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</si>
</sst>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&quot;+/-&quot;\ 0"/>
    <numFmt numFmtId="166" formatCode="&quot;+/-&quot;\ 0.0"/>
    <numFmt numFmtId="167" formatCode="0\ &quot;% *&quot;\ "/>
    <numFmt numFmtId="168" formatCode="0\ &quot;%&quot;"/>
    <numFmt numFmtId="169" formatCode="&quot;+/- &quot;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vertAlign val="subscript"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 tint="0.499984740745262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1" fillId="2" borderId="1" xfId="0" applyFont="1" applyFill="1" applyBorder="1"/>
    <xf numFmtId="0" fontId="7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5" xfId="0" applyFont="1" applyBorder="1" applyAlignment="1">
      <alignment horizontal="center"/>
    </xf>
    <xf numFmtId="166" fontId="10" fillId="0" borderId="1" xfId="0" applyNumberFormat="1" applyFont="1" applyBorder="1" applyAlignment="1">
      <alignment horizontal="left"/>
    </xf>
    <xf numFmtId="164" fontId="1" fillId="4" borderId="1" xfId="0" applyNumberFormat="1" applyFont="1" applyFill="1" applyBorder="1"/>
    <xf numFmtId="169" fontId="1" fillId="0" borderId="0" xfId="0" applyNumberFormat="1" applyFont="1"/>
    <xf numFmtId="0" fontId="3" fillId="5" borderId="3" xfId="0" applyFont="1" applyFill="1" applyBorder="1"/>
    <xf numFmtId="0" fontId="1" fillId="5" borderId="4" xfId="0" applyFont="1" applyFill="1" applyBorder="1"/>
    <xf numFmtId="0" fontId="1" fillId="5" borderId="2" xfId="0" applyFont="1" applyFill="1" applyBorder="1"/>
    <xf numFmtId="0" fontId="3" fillId="5" borderId="4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4" borderId="3" xfId="0" applyFont="1" applyFill="1" applyBorder="1"/>
    <xf numFmtId="167" fontId="1" fillId="4" borderId="1" xfId="0" applyNumberFormat="1" applyFont="1" applyFill="1" applyBorder="1" applyAlignment="1">
      <alignment horizontal="left" indent="2"/>
    </xf>
    <xf numFmtId="168" fontId="1" fillId="4" borderId="1" xfId="0" applyNumberFormat="1" applyFont="1" applyFill="1" applyBorder="1" applyAlignment="1">
      <alignment horizontal="left" indent="2"/>
    </xf>
    <xf numFmtId="0" fontId="1" fillId="4" borderId="1" xfId="0" applyFont="1" applyFill="1" applyBorder="1" applyAlignment="1">
      <alignment horizontal="left" indent="2"/>
    </xf>
    <xf numFmtId="9" fontId="0" fillId="0" borderId="1" xfId="0" applyNumberFormat="1" applyBorder="1"/>
    <xf numFmtId="1" fontId="0" fillId="0" borderId="0" xfId="0" applyNumberFormat="1"/>
    <xf numFmtId="0" fontId="13" fillId="0" borderId="0" xfId="0" applyFont="1"/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left" indent="2"/>
      <protection locked="0"/>
    </xf>
    <xf numFmtId="0" fontId="1" fillId="2" borderId="1" xfId="0" applyFont="1" applyFill="1" applyBorder="1" applyAlignment="1" applyProtection="1">
      <alignment horizontal="left" indent="2"/>
      <protection locked="0"/>
    </xf>
    <xf numFmtId="9" fontId="11" fillId="2" borderId="1" xfId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left" indent="2"/>
      <protection locked="0"/>
    </xf>
    <xf numFmtId="9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0" xfId="0" applyFill="1" applyProtection="1">
      <protection locked="0"/>
    </xf>
    <xf numFmtId="9" fontId="0" fillId="2" borderId="0" xfId="0" applyNumberFormat="1" applyFill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0" borderId="5" xfId="0" applyNumberFormat="1" applyFont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1" fontId="1" fillId="0" borderId="1" xfId="0" applyNumberFormat="1" applyFont="1" applyBorder="1" applyAlignment="1" applyProtection="1">
      <alignment horizontal="right"/>
      <protection locked="0"/>
    </xf>
    <xf numFmtId="164" fontId="1" fillId="0" borderId="0" xfId="0" applyNumberFormat="1" applyFont="1"/>
    <xf numFmtId="0" fontId="1" fillId="0" borderId="10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2" xfId="0" applyFont="1" applyBorder="1"/>
    <xf numFmtId="165" fontId="0" fillId="2" borderId="0" xfId="0" applyNumberFormat="1" applyFill="1" applyAlignment="1" applyProtection="1">
      <alignment horizontal="left"/>
      <protection locked="0"/>
    </xf>
    <xf numFmtId="0" fontId="1" fillId="2" borderId="8" xfId="0" applyFont="1" applyFill="1" applyBorder="1" applyProtection="1">
      <protection locked="0"/>
    </xf>
    <xf numFmtId="165" fontId="0" fillId="2" borderId="9" xfId="0" applyNumberFormat="1" applyFill="1" applyBorder="1" applyAlignment="1" applyProtection="1">
      <alignment horizontal="left"/>
      <protection locked="0"/>
    </xf>
    <xf numFmtId="0" fontId="1" fillId="2" borderId="6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166" fontId="0" fillId="2" borderId="12" xfId="0" applyNumberForma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>
      <alignment horizontal="left" vertical="center"/>
    </xf>
    <xf numFmtId="2" fontId="1" fillId="0" borderId="9" xfId="0" applyNumberFormat="1" applyFont="1" applyBorder="1"/>
    <xf numFmtId="2" fontId="1" fillId="0" borderId="12" xfId="0" applyNumberFormat="1" applyFont="1" applyBorder="1"/>
    <xf numFmtId="0" fontId="1" fillId="0" borderId="8" xfId="0" applyFont="1" applyBorder="1"/>
    <xf numFmtId="0" fontId="1" fillId="0" borderId="6" xfId="0" applyFont="1" applyBorder="1" applyAlignment="1">
      <alignment horizontal="left"/>
    </xf>
    <xf numFmtId="0" fontId="1" fillId="0" borderId="6" xfId="0" applyFont="1" applyBorder="1"/>
    <xf numFmtId="0" fontId="1" fillId="2" borderId="0" xfId="0" applyFont="1" applyFill="1" applyAlignment="1" applyProtection="1">
      <alignment horizontal="left"/>
      <protection locked="0"/>
    </xf>
    <xf numFmtId="0" fontId="1" fillId="0" borderId="8" xfId="0" applyFont="1" applyBorder="1" applyAlignment="1">
      <alignment horizontal="left" indent="5"/>
    </xf>
    <xf numFmtId="0" fontId="1" fillId="0" borderId="6" xfId="0" applyFont="1" applyBorder="1" applyAlignment="1">
      <alignment horizontal="left" indent="5"/>
    </xf>
    <xf numFmtId="0" fontId="1" fillId="0" borderId="11" xfId="0" applyFont="1" applyBorder="1" applyAlignment="1">
      <alignment horizontal="left" indent="5"/>
    </xf>
    <xf numFmtId="166" fontId="1" fillId="0" borderId="9" xfId="0" applyNumberFormat="1" applyFont="1" applyBorder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1" fillId="0" borderId="12" xfId="0" applyNumberFormat="1" applyFont="1" applyBorder="1" applyAlignment="1">
      <alignment horizontal="left"/>
    </xf>
    <xf numFmtId="0" fontId="16" fillId="3" borderId="1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" fontId="1" fillId="0" borderId="6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" fontId="12" fillId="4" borderId="9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0" xfId="0" applyFont="1" applyFill="1" applyAlignment="1">
      <alignment horizontal="left"/>
    </xf>
  </cellXfs>
  <cellStyles count="2">
    <cellStyle name="Normal" xfId="0" builtinId="0"/>
    <cellStyle name="Pourcentage" xfId="1" builtinId="5"/>
  </cellStyles>
  <dxfs count="8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numFmt numFmtId="166" formatCode="&quot;+/-&quot;\ 0.0"/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V54"/>
  <sheetViews>
    <sheetView tabSelected="1" view="pageLayout" zoomScaleNormal="85" zoomScaleSheetLayoutView="100" workbookViewId="0">
      <selection activeCell="B80" sqref="B80"/>
    </sheetView>
  </sheetViews>
  <sheetFormatPr baseColWidth="10" defaultColWidth="9.140625" defaultRowHeight="15" x14ac:dyDescent="0.25"/>
  <cols>
    <col min="1" max="1" width="0.28515625" style="1" customWidth="1"/>
    <col min="2" max="2" width="35.7109375" style="1" customWidth="1"/>
    <col min="3" max="4" width="10.7109375" style="1" customWidth="1"/>
    <col min="5" max="5" width="17.7109375" style="1" customWidth="1"/>
    <col min="6" max="6" width="13" style="1" hidden="1" customWidth="1"/>
    <col min="7" max="7" width="19.5703125" style="1" customWidth="1"/>
    <col min="8" max="8" width="7.42578125" style="1" hidden="1" customWidth="1"/>
    <col min="9" max="9" width="20.5703125" style="1" customWidth="1"/>
    <col min="10" max="10" width="3.5703125" style="1" hidden="1" customWidth="1"/>
    <col min="11" max="11" width="20.5703125" style="1" customWidth="1"/>
    <col min="12" max="12" width="3.7109375" style="1" hidden="1" customWidth="1"/>
    <col min="13" max="13" width="20.5703125" style="1" customWidth="1"/>
    <col min="14" max="14" width="1.5703125" style="1" customWidth="1"/>
    <col min="15" max="18" width="10.7109375" style="1" customWidth="1"/>
    <col min="19" max="22" width="9.140625" style="1"/>
  </cols>
  <sheetData>
    <row r="4" spans="2:13" ht="18.75" x14ac:dyDescent="0.3">
      <c r="B4" s="4" t="s">
        <v>12</v>
      </c>
    </row>
    <row r="6" spans="2:13" ht="15.75" x14ac:dyDescent="0.25">
      <c r="B6" s="5" t="s">
        <v>13</v>
      </c>
    </row>
    <row r="9" spans="2:13" x14ac:dyDescent="0.25">
      <c r="B9" s="1" t="s">
        <v>14</v>
      </c>
      <c r="C9" s="6"/>
    </row>
    <row r="12" spans="2:13" x14ac:dyDescent="0.25">
      <c r="B12" s="20" t="s">
        <v>15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/>
    </row>
    <row r="14" spans="2:13" x14ac:dyDescent="0.25">
      <c r="B14" s="2" t="s">
        <v>16</v>
      </c>
    </row>
    <row r="16" spans="2:13" ht="18.75" x14ac:dyDescent="0.35">
      <c r="B16" s="1" t="s">
        <v>17</v>
      </c>
      <c r="C16" s="1" t="s">
        <v>0</v>
      </c>
      <c r="D16" s="1" t="s">
        <v>1</v>
      </c>
      <c r="E16" s="32">
        <v>20</v>
      </c>
      <c r="G16" s="19"/>
    </row>
    <row r="17" spans="2:13" x14ac:dyDescent="0.25">
      <c r="D17"/>
      <c r="E17"/>
      <c r="F17"/>
    </row>
    <row r="19" spans="2:13" x14ac:dyDescent="0.25">
      <c r="B19" s="20" t="s">
        <v>18</v>
      </c>
      <c r="C19" s="21"/>
      <c r="D19" s="21"/>
      <c r="E19" s="21"/>
      <c r="F19" s="21"/>
      <c r="G19" s="21"/>
      <c r="H19" s="21"/>
      <c r="I19" s="23"/>
      <c r="J19" s="23"/>
      <c r="K19" s="21"/>
      <c r="L19" s="21"/>
      <c r="M19" s="22"/>
    </row>
    <row r="21" spans="2:13" x14ac:dyDescent="0.25">
      <c r="B21" s="2" t="s">
        <v>19</v>
      </c>
      <c r="E21" s="8" t="s">
        <v>24</v>
      </c>
      <c r="F21" s="16"/>
      <c r="G21" s="8" t="s">
        <v>25</v>
      </c>
      <c r="H21" s="16"/>
      <c r="I21" s="8" t="s">
        <v>26</v>
      </c>
      <c r="J21" s="16"/>
      <c r="K21" s="8" t="s">
        <v>27</v>
      </c>
      <c r="L21" s="16"/>
      <c r="M21" s="8" t="s">
        <v>28</v>
      </c>
    </row>
    <row r="22" spans="2:13" ht="18.75" x14ac:dyDescent="0.35">
      <c r="B22" s="1" t="s">
        <v>20</v>
      </c>
      <c r="C22" s="1" t="s">
        <v>2</v>
      </c>
      <c r="D22" s="1" t="s">
        <v>57</v>
      </c>
      <c r="E22" s="42">
        <v>5000</v>
      </c>
      <c r="F22" s="43"/>
      <c r="G22" s="42"/>
      <c r="H22" s="43"/>
      <c r="I22" s="42"/>
      <c r="J22" s="43"/>
      <c r="K22" s="42"/>
      <c r="L22" s="43"/>
      <c r="M22" s="42"/>
    </row>
    <row r="23" spans="2:13" x14ac:dyDescent="0.25">
      <c r="B23" s="1" t="s">
        <v>21</v>
      </c>
      <c r="C23" s="1" t="s">
        <v>22</v>
      </c>
      <c r="D23" s="1" t="s">
        <v>22</v>
      </c>
      <c r="E23" s="42">
        <v>13</v>
      </c>
      <c r="F23" s="43"/>
      <c r="G23" s="42"/>
      <c r="H23" s="43"/>
      <c r="I23" s="42"/>
      <c r="J23" s="43"/>
      <c r="K23" s="42"/>
      <c r="L23" s="43"/>
      <c r="M23" s="42"/>
    </row>
    <row r="24" spans="2:13" x14ac:dyDescent="0.25">
      <c r="B24" s="1" t="s">
        <v>23</v>
      </c>
      <c r="E24" s="44" t="s">
        <v>76</v>
      </c>
      <c r="F24" s="45"/>
      <c r="G24" s="44"/>
      <c r="H24" s="45"/>
      <c r="I24" s="44"/>
      <c r="J24" s="45"/>
      <c r="K24" s="44"/>
      <c r="L24" s="45"/>
      <c r="M24" s="44"/>
    </row>
    <row r="25" spans="2:13" x14ac:dyDescent="0.25">
      <c r="B25" s="1" t="s">
        <v>83</v>
      </c>
      <c r="D25" s="1" t="s">
        <v>1</v>
      </c>
      <c r="E25" s="42"/>
      <c r="F25" s="46"/>
      <c r="G25" s="42"/>
      <c r="H25" s="46"/>
      <c r="I25" s="42"/>
      <c r="J25" s="46"/>
      <c r="K25" s="42"/>
      <c r="L25" s="46"/>
      <c r="M25" s="42"/>
    </row>
    <row r="26" spans="2:13" x14ac:dyDescent="0.25">
      <c r="E26" s="77" t="str">
        <f>IF(SUM(E38:M38)&gt;0, "Bitte füllen Sie das personalisierte System unter Einstellungen aus","")</f>
        <v/>
      </c>
      <c r="F26" s="77"/>
      <c r="G26" s="77"/>
      <c r="H26" s="77"/>
      <c r="I26" s="77"/>
      <c r="J26" s="77"/>
      <c r="K26" s="77"/>
      <c r="L26" s="77"/>
      <c r="M26" s="77"/>
    </row>
    <row r="27" spans="2:13" x14ac:dyDescent="0.25">
      <c r="B27" s="7" t="s">
        <v>29</v>
      </c>
      <c r="E27" s="3"/>
      <c r="F27" s="3"/>
      <c r="G27" s="3"/>
      <c r="H27" s="3"/>
      <c r="I27" s="3"/>
      <c r="J27" s="3"/>
      <c r="K27" s="3"/>
      <c r="L27" s="3"/>
      <c r="M27" s="3"/>
    </row>
    <row r="28" spans="2:13" ht="18.75" x14ac:dyDescent="0.35">
      <c r="B28" s="1" t="s">
        <v>30</v>
      </c>
      <c r="C28" s="1" t="s">
        <v>35</v>
      </c>
      <c r="D28" s="1" t="s">
        <v>3</v>
      </c>
      <c r="E28" s="12">
        <f>Einstellungen!D7*$E$23</f>
        <v>26</v>
      </c>
      <c r="F28" s="12">
        <f>Einstellungen!$E7*$E$23</f>
        <v>8.6666666666666661</v>
      </c>
      <c r="G28" s="12">
        <f>Einstellungen!D7*$G$23</f>
        <v>0</v>
      </c>
      <c r="H28" s="12">
        <f>Einstellungen!$E7*G$23</f>
        <v>0</v>
      </c>
      <c r="I28" s="12">
        <f>Einstellungen!D7*$I$23</f>
        <v>0</v>
      </c>
      <c r="J28" s="12">
        <f>Einstellungen!$E7*I$23</f>
        <v>0</v>
      </c>
      <c r="K28" s="12">
        <f>Einstellungen!D7*$K$23</f>
        <v>0</v>
      </c>
      <c r="L28" s="12">
        <f>Einstellungen!$E7*K$23</f>
        <v>0</v>
      </c>
      <c r="M28" s="12">
        <f>Einstellungen!D7*$M$23</f>
        <v>0</v>
      </c>
    </row>
    <row r="29" spans="2:13" ht="18.75" x14ac:dyDescent="0.35">
      <c r="B29" s="1" t="s">
        <v>31</v>
      </c>
      <c r="C29" s="1" t="s">
        <v>36</v>
      </c>
      <c r="D29" s="1" t="s">
        <v>3</v>
      </c>
      <c r="E29" s="12">
        <f>Einstellungen!D8*$E$23</f>
        <v>390</v>
      </c>
      <c r="F29" s="12">
        <f>Einstellungen!E8*$E$23</f>
        <v>173.33333333333331</v>
      </c>
      <c r="G29" s="12">
        <f>Einstellungen!D8*$G$23</f>
        <v>0</v>
      </c>
      <c r="H29" s="12">
        <f>Einstellungen!$E8*G$23</f>
        <v>0</v>
      </c>
      <c r="I29" s="12">
        <f>Einstellungen!D8*$I$23</f>
        <v>0</v>
      </c>
      <c r="J29" s="12">
        <f>Einstellungen!$E8*I$23</f>
        <v>0</v>
      </c>
      <c r="K29" s="12">
        <f>Einstellungen!D8*$K$23</f>
        <v>0</v>
      </c>
      <c r="L29" s="12">
        <f>Einstellungen!$E8*K$23</f>
        <v>0</v>
      </c>
      <c r="M29" s="12">
        <f>Einstellungen!D8*$M$23</f>
        <v>0</v>
      </c>
    </row>
    <row r="30" spans="2:13" ht="18.75" x14ac:dyDescent="0.35">
      <c r="B30" s="1" t="s">
        <v>32</v>
      </c>
      <c r="C30" s="1" t="s">
        <v>37</v>
      </c>
      <c r="D30" s="1" t="s">
        <v>3</v>
      </c>
      <c r="E30" s="12">
        <f>Einstellungen!D9*$E$23</f>
        <v>86.666666666666671</v>
      </c>
      <c r="F30" s="12">
        <f>Einstellungen!E9*$E$23</f>
        <v>43.333333333333336</v>
      </c>
      <c r="G30" s="12">
        <f>Einstellungen!D9*$G$23</f>
        <v>0</v>
      </c>
      <c r="H30" s="12">
        <f>Einstellungen!$E9*G$23</f>
        <v>0</v>
      </c>
      <c r="I30" s="12">
        <f>Einstellungen!D9*$I$23</f>
        <v>0</v>
      </c>
      <c r="J30" s="12">
        <f>Einstellungen!$E9*I$23</f>
        <v>0</v>
      </c>
      <c r="K30" s="12">
        <f>Einstellungen!D9*$K$23</f>
        <v>0</v>
      </c>
      <c r="L30" s="12">
        <f>Einstellungen!$E9*K$23</f>
        <v>0</v>
      </c>
      <c r="M30" s="12">
        <f>Einstellungen!D9*$M$23</f>
        <v>0</v>
      </c>
    </row>
    <row r="31" spans="2:13" ht="18.75" x14ac:dyDescent="0.35">
      <c r="B31" s="1" t="s">
        <v>33</v>
      </c>
      <c r="C31" s="1" t="s">
        <v>39</v>
      </c>
      <c r="D31" s="1" t="s">
        <v>4</v>
      </c>
      <c r="E31" s="12">
        <f>Einstellungen!D10*$E$23</f>
        <v>260</v>
      </c>
      <c r="F31" s="12">
        <f>Einstellungen!E10*$E$23</f>
        <v>86.666666666666657</v>
      </c>
      <c r="G31" s="12">
        <f>Einstellungen!D10*$G$23</f>
        <v>0</v>
      </c>
      <c r="H31" s="12">
        <f>Einstellungen!$E10*G$23</f>
        <v>0</v>
      </c>
      <c r="I31" s="12">
        <f>Einstellungen!D10*$I$23</f>
        <v>0</v>
      </c>
      <c r="J31" s="12">
        <f>Einstellungen!$E10*I$23</f>
        <v>0</v>
      </c>
      <c r="K31" s="12">
        <f>Einstellungen!D10*$K$23</f>
        <v>0</v>
      </c>
      <c r="L31" s="12">
        <f>Einstellungen!$E10*K$23</f>
        <v>0</v>
      </c>
      <c r="M31" s="12">
        <f>Einstellungen!D10*$M$23</f>
        <v>0</v>
      </c>
    </row>
    <row r="32" spans="2:13" ht="18.75" x14ac:dyDescent="0.35">
      <c r="B32" s="1" t="s">
        <v>34</v>
      </c>
      <c r="C32" s="1" t="s">
        <v>38</v>
      </c>
      <c r="D32" s="1" t="s">
        <v>3</v>
      </c>
      <c r="E32" s="12">
        <f>Einstellungen!D11*$E$23</f>
        <v>1.7333333333333334</v>
      </c>
      <c r="F32" s="12">
        <f>Einstellungen!E11*$E$23</f>
        <v>0.43333333333333335</v>
      </c>
      <c r="G32" s="12">
        <f>Einstellungen!D11*$G$23</f>
        <v>0</v>
      </c>
      <c r="H32" s="12">
        <f>Einstellungen!$E11*G$23</f>
        <v>0</v>
      </c>
      <c r="I32" s="12">
        <f>Einstellungen!D11*$I$23</f>
        <v>0</v>
      </c>
      <c r="J32" s="12">
        <f>Einstellungen!$E11*I$23</f>
        <v>0</v>
      </c>
      <c r="K32" s="12">
        <f>Einstellungen!D11*$K$23</f>
        <v>0</v>
      </c>
      <c r="L32" s="12">
        <f>Einstellungen!$E11*K$23</f>
        <v>0</v>
      </c>
      <c r="M32" s="12">
        <f>Einstellungen!D11*$M$23</f>
        <v>0</v>
      </c>
    </row>
    <row r="35" spans="2:14" x14ac:dyDescent="0.25">
      <c r="B35" s="2" t="s">
        <v>85</v>
      </c>
      <c r="E35" s="8" t="s">
        <v>24</v>
      </c>
      <c r="F35" s="16"/>
      <c r="G35" s="8" t="s">
        <v>25</v>
      </c>
      <c r="H35" s="16"/>
      <c r="I35" s="8" t="s">
        <v>26</v>
      </c>
      <c r="J35" s="16"/>
      <c r="K35" s="8" t="s">
        <v>27</v>
      </c>
      <c r="L35" s="16"/>
      <c r="M35" s="8" t="s">
        <v>28</v>
      </c>
    </row>
    <row r="37" spans="2:14" ht="18.75" x14ac:dyDescent="0.35">
      <c r="B37" s="1" t="s">
        <v>50</v>
      </c>
      <c r="C37" s="1" t="s">
        <v>5</v>
      </c>
      <c r="D37" s="1" t="s">
        <v>1</v>
      </c>
      <c r="E37" s="18">
        <f>MIN(E22*Einstellungen!$C$30*2.78/10000,E25)</f>
        <v>13.9</v>
      </c>
      <c r="F37" s="18"/>
      <c r="G37" s="18">
        <f>MIN(G22*Einstellungen!$C$30*2.78/10000,G25)</f>
        <v>0</v>
      </c>
      <c r="H37" s="18"/>
      <c r="I37" s="18">
        <f>MIN(I22*Einstellungen!$C$30*2.78/10000,I25)</f>
        <v>0</v>
      </c>
      <c r="J37" s="18"/>
      <c r="K37" s="18">
        <f>MIN(K22*Einstellungen!$C$30*2.78/10000,K25)</f>
        <v>0</v>
      </c>
      <c r="L37" s="18"/>
      <c r="M37" s="18">
        <f>MIN(M22*Einstellungen!$C$30*2.78/10000,M25)</f>
        <v>0</v>
      </c>
    </row>
    <row r="38" spans="2:14" x14ac:dyDescent="0.25">
      <c r="E38" s="74" t="str">
        <f>IF(AND(E24&lt;&gt;"VSA erhöht",E24&lt;&gt;"VSA standart",E24&lt;&gt;"VSA erleichtert",E24&lt;&gt;"-",E24&lt;&gt;""),IF(VLOOKUP('Überprüfung Grenzwerte'!E24,Einstellungen!$B$21:$K$25,10,FALSE)&gt;0,1,""),"")</f>
        <v/>
      </c>
      <c r="F38" s="74" t="str">
        <f>IF(AND(F24&lt;&gt;"VSA erhöht",F24&lt;&gt;"VSA standart",F24&lt;&gt;"VSA erleichtert",F24&lt;&gt;"-",F24&lt;&gt;""),IF(VLOOKUP('Überprüfung Grenzwerte'!F24,Einstellungen!$B$21:$K$25,10,FALSE)&gt;0,1,""),"")</f>
        <v/>
      </c>
      <c r="G38" s="74" t="str">
        <f>IF(AND(G24&lt;&gt;"VSA erhöht",G24&lt;&gt;"VSA standart",G24&lt;&gt;"VSA erleichtert",G24&lt;&gt;"-",G24&lt;&gt;""),IF(VLOOKUP('Überprüfung Grenzwerte'!G24,Einstellungen!$B$21:$K$25,10,FALSE)&gt;0,1,""),"")</f>
        <v/>
      </c>
      <c r="H38" s="74" t="str">
        <f>IF(AND(H24&lt;&gt;"VSA erhöht",H24&lt;&gt;"VSA standart",H24&lt;&gt;"VSA erleichtert",H24&lt;&gt;"-",H24&lt;&gt;""),IF(VLOOKUP('Überprüfung Grenzwerte'!H24,Einstellungen!$B$21:$K$25,10,FALSE)&gt;0,1,""),"")</f>
        <v/>
      </c>
      <c r="I38" s="74" t="str">
        <f>IF(AND(I24&lt;&gt;"VSA erhöht",I24&lt;&gt;"VSA standart",I24&lt;&gt;"VSA erleichtert",I24&lt;&gt;"-",I24&lt;&gt;""),IF(VLOOKUP('Überprüfung Grenzwerte'!I24,Einstellungen!$B$21:$K$25,10,FALSE)&gt;0,1,""),"")</f>
        <v/>
      </c>
      <c r="J38" s="74" t="str">
        <f>IF(AND(J24&lt;&gt;"VSA erhöht",J24&lt;&gt;"VSA standart",J24&lt;&gt;"VSA erleichtert",J24&lt;&gt;"-",J24&lt;&gt;""),IF(VLOOKUP('Überprüfung Grenzwerte'!J24,Einstellungen!$B$21:$K$25,10,FALSE)&gt;0,1,""),"")</f>
        <v/>
      </c>
      <c r="K38" s="74" t="str">
        <f>IF(AND(K24&lt;&gt;"VSA erhöht",K24&lt;&gt;"VSA standart",K24&lt;&gt;"VSA erleichtert",K24&lt;&gt;"-",K24&lt;&gt;""),IF(VLOOKUP('Überprüfung Grenzwerte'!K24,Einstellungen!$B$21:$K$25,10,FALSE)&gt;0,1,""),"")</f>
        <v/>
      </c>
      <c r="L38" s="74" t="str">
        <f>IF(AND(L24&lt;&gt;"VSA erhöht",L24&lt;&gt;"VSA standart",L24&lt;&gt;"VSA erleichtert",L24&lt;&gt;"-",L24&lt;&gt;""),IF(VLOOKUP('Überprüfung Grenzwerte'!L24,Einstellungen!$B$21:$K$25,10,FALSE)&gt;0,1,""),"")</f>
        <v/>
      </c>
      <c r="M38" s="74" t="str">
        <f>IF(AND(M24&lt;&gt;"VSA erhöht",M24&lt;&gt;"VSA standart",M24&lt;&gt;"VSA erleichtert",M24&lt;&gt;"-",M24&lt;&gt;""),IF(VLOOKUP('Überprüfung Grenzwerte'!M24,Einstellungen!$B$21:$K$25,10,FALSE)&gt;0,1,""),"")</f>
        <v/>
      </c>
      <c r="N38" s="3"/>
    </row>
    <row r="39" spans="2:14" x14ac:dyDescent="0.25">
      <c r="B39" s="7" t="s">
        <v>51</v>
      </c>
      <c r="E39" s="9"/>
      <c r="F39" s="9"/>
      <c r="G39" s="9"/>
      <c r="H39" s="9"/>
      <c r="I39" s="9"/>
      <c r="J39" s="9"/>
      <c r="K39" s="9"/>
      <c r="L39" s="9"/>
      <c r="M39" s="9"/>
    </row>
    <row r="40" spans="2:14" ht="18.75" x14ac:dyDescent="0.35">
      <c r="B40" s="1" t="s">
        <v>30</v>
      </c>
      <c r="C40" s="1" t="s">
        <v>40</v>
      </c>
      <c r="D40" s="1" t="s">
        <v>3</v>
      </c>
      <c r="E40" s="12">
        <f>IF(E24="",E28,IF(VLOOKUP(E$24,Einstellungen!$B$18:$H$25,7,FALSE)="%",(1-VLOOKUP(E$24,Einstellungen!$B$18:$H$25,2,FALSE)/100)*E28,VLOOKUP(E$24,Einstellungen!$B$18:$H$25,2,FALSE)))</f>
        <v>13</v>
      </c>
      <c r="F40" s="12">
        <f>IF(E24="",F28,IF(VLOOKUP(E$24,Einstellungen!$B$18:$H$25,7,FALSE)="%",(1-VLOOKUP(E$24,Einstellungen!$B$18:$H$25,2,FALSE)/100)*F28,VLOOKUP(E$24,Einstellungen!$B$18:$H$25,2,FALSE)))</f>
        <v>4.333333333333333</v>
      </c>
      <c r="G40" s="12">
        <f>IF(G24="",G28,IF(VLOOKUP(G$24,Einstellungen!$B$18:$H$25,7,FALSE)="%",(1-VLOOKUP(G$24,Einstellungen!$B$18:$H$25,2,FALSE)/100)*G28,VLOOKUP(G$24,Einstellungen!$B$18:$H$25,2,FALSE)))</f>
        <v>0</v>
      </c>
      <c r="H40" s="12">
        <f>IF(G24="",H28,IF(VLOOKUP(G$24,Einstellungen!$B$18:$H$25,7,FALSE)="%",(1-VLOOKUP(G$24,Einstellungen!$B$18:$H$25,2,FALSE)/100)*H28,VLOOKUP(G$24,Einstellungen!$B$18:$H$25,2,FALSE)))</f>
        <v>0</v>
      </c>
      <c r="I40" s="12">
        <f>IF(I24="",I28,IF(VLOOKUP(I$24,Einstellungen!$B$18:$H$25,7,FALSE)="%",(1-VLOOKUP(I$24,Einstellungen!$B$18:$H$25,2,FALSE)/100)*I28,VLOOKUP(I$24,Einstellungen!$B$18:$H$25,2,FALSE)))</f>
        <v>0</v>
      </c>
      <c r="J40" s="12">
        <f>IF(I24="",J28,IF(VLOOKUP(I$24,Einstellungen!$B$18:$H$25,7,FALSE)="%",(1-VLOOKUP(I$24,Einstellungen!$B$18:$H$25,2,FALSE)/100)*J28,VLOOKUP(I$24,Einstellungen!$B$18:$H$25,2,FALSE)))</f>
        <v>0</v>
      </c>
      <c r="K40" s="12">
        <f>IF(K24="",K28,IF(VLOOKUP(K$24,Einstellungen!$B$18:$H$25,7,FALSE)="%",(1-VLOOKUP(K$24,Einstellungen!$B$18:$H$25,2,FALSE)/100)*K28,VLOOKUP(K$24,Einstellungen!$B$18:$H$25,2,FALSE)))</f>
        <v>0</v>
      </c>
      <c r="L40" s="12">
        <f>IF(K24="",L28,IF(VLOOKUP(K$24,Einstellungen!$B$18:$H$25,7,FALSE)="%",(1-VLOOKUP(K$24,Einstellungen!$B$18:$H$25,2,FALSE)/100)*L28,VLOOKUP(K$24,Einstellungen!$B$18:$H$25,2,FALSE)))</f>
        <v>0</v>
      </c>
      <c r="M40" s="12">
        <f>IF(M24="",M28,IF(VLOOKUP(M$24,Einstellungen!$B$18:$H$25,7,FALSE)="%",(1-VLOOKUP(M$24,Einstellungen!$B$18:$H$25,2,FALSE)/100)*M28,VLOOKUP(M$24,Einstellungen!$B$18:$H$25,2,FALSE)))</f>
        <v>0</v>
      </c>
      <c r="N40" s="75">
        <f>IF(M24="",N28,IF(VLOOKUP(M$24,Einstellungen!$B$18:$H$25,7,FALSE)="%",(1-VLOOKUP(M$24,Einstellungen!$B$18:$H$25,2,FALSE)/100)*N28,VLOOKUP(M$24,Einstellungen!$B$18:$H$25,2,FALSE)))</f>
        <v>0</v>
      </c>
    </row>
    <row r="41" spans="2:14" ht="18.75" x14ac:dyDescent="0.35">
      <c r="B41" s="1" t="s">
        <v>31</v>
      </c>
      <c r="C41" s="1" t="s">
        <v>41</v>
      </c>
      <c r="D41" s="1" t="s">
        <v>3</v>
      </c>
      <c r="E41" s="12">
        <f>IF(E24="",E29,IF(VLOOKUP(E$24,Einstellungen!$B$18:$H$25,7,FALSE)="%",(1-VLOOKUP(E$24,Einstellungen!$B$18:$H$25,3,FALSE)/100)*E29,VLOOKUP(E$24,Einstellungen!$B$18:$H$25,3,FALSE)))</f>
        <v>195</v>
      </c>
      <c r="F41" s="12">
        <f>IF(E24="",F29,IF(VLOOKUP(E$24,Einstellungen!$B$18:$H$25,7,FALSE)="%",(1-VLOOKUP(E$24,Einstellungen!$B$18:$H$25,3,FALSE)/100)*F29,VLOOKUP(E$24,Einstellungen!$B$18:$H$25,3,FALSE)))</f>
        <v>86.666666666666657</v>
      </c>
      <c r="G41" s="12">
        <f>IF(G24="",G29,IF(VLOOKUP(G$24,Einstellungen!$B$18:$H$25,7,FALSE)="%",(1-VLOOKUP(G$24,Einstellungen!$B$18:$H$25,3,FALSE)/100)*G29,VLOOKUP(G$24,Einstellungen!$B$18:$H$25,3,FALSE)))</f>
        <v>0</v>
      </c>
      <c r="H41" s="12">
        <f>IF(G24="",H29,IF(VLOOKUP(G$24,Einstellungen!$B$18:$H$25,7,FALSE)="%",(1-VLOOKUP(G$24,Einstellungen!$B$18:$H$25,3,FALSE)/100)*H29,VLOOKUP(G$24,Einstellungen!$B$18:$H$25,3,FALSE)))</f>
        <v>0</v>
      </c>
      <c r="I41" s="12">
        <f>IF(I24="",I29,IF(VLOOKUP(I$24,Einstellungen!$B$18:$H$25,7,FALSE)="%",(1-VLOOKUP(I$24,Einstellungen!$B$18:$H$25,3,FALSE)/100)*I29,VLOOKUP(I$24,Einstellungen!$B$18:$H$25,3,FALSE)))</f>
        <v>0</v>
      </c>
      <c r="J41" s="12">
        <f>IF(I24="",J29,IF(VLOOKUP(I$24,Einstellungen!$B$18:$H$25,7,FALSE)="%",(1-VLOOKUP(I$24,Einstellungen!$B$18:$H$25,3,FALSE)/100)*J29,VLOOKUP(I$24,Einstellungen!$B$18:$H$25,3,FALSE)))</f>
        <v>0</v>
      </c>
      <c r="K41" s="12">
        <f>IF(K24="",K29,IF(VLOOKUP(K$24,Einstellungen!$B$18:$H$25,7,FALSE)="%",(1-VLOOKUP(K$24,Einstellungen!$B$18:$H$25,3,FALSE)/100)*K29,VLOOKUP(K$24,Einstellungen!$B$18:$H$25,3,FALSE)))</f>
        <v>0</v>
      </c>
      <c r="L41" s="12">
        <f>IF(K24="",L29,IF(VLOOKUP(K$24,Einstellungen!$B$18:$H$25,7,FALSE)="%",(1-VLOOKUP(K$24,Einstellungen!$B$18:$H$25,3,FALSE)/100)*L29,VLOOKUP(K$24,Einstellungen!$B$18:$H$25,3,FALSE)))</f>
        <v>0</v>
      </c>
      <c r="M41" s="12">
        <f>IF(M24="",M29,IF(VLOOKUP(M$24,Einstellungen!$B$18:$H$25,7,FALSE)="%",(1-VLOOKUP(M$24,Einstellungen!$B$18:$H$25,3,FALSE)/100)*M29,VLOOKUP(M$24,Einstellungen!$B$18:$H$25,3,FALSE)))</f>
        <v>0</v>
      </c>
      <c r="N41" s="75">
        <f>IF(M24="",N29,IF(VLOOKUP(M$24,Einstellungen!$B$18:$H$25,7,FALSE)="%",(1-VLOOKUP(M$24,Einstellungen!$B$18:$H$25,3,FALSE)/100)*N29,VLOOKUP(M$24,Einstellungen!$B$18:$H$25,3,FALSE)))</f>
        <v>0</v>
      </c>
    </row>
    <row r="42" spans="2:14" ht="18.75" x14ac:dyDescent="0.35">
      <c r="B42" s="1" t="s">
        <v>32</v>
      </c>
      <c r="C42" s="1" t="s">
        <v>42</v>
      </c>
      <c r="D42" s="1" t="s">
        <v>3</v>
      </c>
      <c r="E42" s="12">
        <f>IF(E24="",E30,IF(VLOOKUP(E$24,Einstellungen!$B$18:$H$25,7,FALSE)="%",(1-VLOOKUP(E$24,Einstellungen!$B$18:$H$25,4,FALSE)/100)*E30,VLOOKUP(E$24,Einstellungen!$B$18:$H$25,4,FALSE)))</f>
        <v>43.333333333333336</v>
      </c>
      <c r="F42" s="12">
        <f>IF(E24="",F30,IF(VLOOKUP(E$24,Einstellungen!$B$18:$H$25,7,FALSE)="%",(1-VLOOKUP(E$24,Einstellungen!$B$18:$H$25,4,FALSE)/100)*F30,VLOOKUP(E$24,Einstellungen!$B$18:$H$25,4,FALSE)))</f>
        <v>21.666666666666668</v>
      </c>
      <c r="G42" s="12">
        <f>IF(G24="",G30,IF(VLOOKUP(G$24,Einstellungen!$B$18:$H$25,7,FALSE)="%",(1-VLOOKUP(G$24,Einstellungen!$B$18:$H$25,4,FALSE)/100)*G30,VLOOKUP(G$24,Einstellungen!$B$18:$H$25,4,FALSE)))</f>
        <v>0</v>
      </c>
      <c r="H42" s="12">
        <f>IF(G24="",H30,IF(VLOOKUP(G$24,Einstellungen!$B$18:$H$25,7,FALSE)="%",(1-VLOOKUP(G$24,Einstellungen!$B$18:$H$25,4,FALSE)/100)*H30,VLOOKUP(G$24,Einstellungen!$B$18:$H$25,4,FALSE)))</f>
        <v>0</v>
      </c>
      <c r="I42" s="12">
        <f>IF(I24="",I30,IF(VLOOKUP(I$24,Einstellungen!$B$18:$H$25,7,FALSE)="%",(1-VLOOKUP(I$24,Einstellungen!$B$18:$H$25,4,FALSE)/100)*I30,VLOOKUP(I$24,Einstellungen!$B$18:$H$25,4,FALSE)))</f>
        <v>0</v>
      </c>
      <c r="J42" s="12">
        <f>IF(I24="",J30,IF(VLOOKUP(I$24,Einstellungen!$B$18:$H$25,7,FALSE)="%",(1-VLOOKUP(I$24,Einstellungen!$B$18:$H$25,4,FALSE)/100)*J30,VLOOKUP(I$24,Einstellungen!$B$18:$H$25,4,FALSE)))</f>
        <v>0</v>
      </c>
      <c r="K42" s="12">
        <f>IF(K24="",K30,IF(VLOOKUP(K$24,Einstellungen!$B$18:$H$25,7,FALSE)="%",(1-VLOOKUP(K$24,Einstellungen!$B$18:$H$25,4,FALSE)/100)*K30,VLOOKUP(K$24,Einstellungen!$B$18:$H$25,4,FALSE)))</f>
        <v>0</v>
      </c>
      <c r="L42" s="12">
        <f>IF(K24="",L30,IF(VLOOKUP(K$24,Einstellungen!$B$18:$H$25,7,FALSE)="%",(1-VLOOKUP(K$24,Einstellungen!$B$18:$H$25,4,FALSE)/100)*L30,VLOOKUP(K$24,Einstellungen!$B$18:$H$25,4,FALSE)))</f>
        <v>0</v>
      </c>
      <c r="M42" s="12">
        <f>IF(M24="",M30,IF(VLOOKUP(M$24,Einstellungen!$B$18:$H$25,7,FALSE)="%",(1-VLOOKUP(M$24,Einstellungen!$B$18:$H$25,4,FALSE)/100)*M30,VLOOKUP(M$24,Einstellungen!$B$18:$H$25,4,FALSE)))</f>
        <v>0</v>
      </c>
      <c r="N42" s="75">
        <f>IF(M24="",N30,IF(VLOOKUP(M$24,Einstellungen!$B$18:$H$25,7,FALSE)="%",(1-VLOOKUP(M$24,Einstellungen!$B$18:$H$25,4,FALSE)/100)*N30,VLOOKUP(M$24,Einstellungen!$B$18:$H$25,4,FALSE)))</f>
        <v>0</v>
      </c>
    </row>
    <row r="43" spans="2:14" ht="18.75" x14ac:dyDescent="0.35">
      <c r="B43" s="1" t="s">
        <v>33</v>
      </c>
      <c r="C43" s="1" t="s">
        <v>43</v>
      </c>
      <c r="D43" s="1" t="s">
        <v>4</v>
      </c>
      <c r="E43" s="12">
        <f>IF(E24="",E31,IF(VLOOKUP(E$24,Einstellungen!$B$18:$H$25,7,FALSE)="%",(1-VLOOKUP(E$24,Einstellungen!$B$18:$H$25,5,FALSE)/100)*E31,VLOOKUP(E$24,Einstellungen!$B$18:$H$25,5,FALSE)))</f>
        <v>78.000000000000014</v>
      </c>
      <c r="F43" s="12">
        <f>IF(E24="",F31,IF(VLOOKUP(E$24,Einstellungen!$B$18:$H$25,7,FALSE)="%",(1-VLOOKUP(E$24,Einstellungen!$B$18:$H$25,5,FALSE)/100)*F31,VLOOKUP(E$24,Einstellungen!$B$18:$H$25,5,FALSE)))</f>
        <v>26</v>
      </c>
      <c r="G43" s="12">
        <f>IF(G24="",G31,IF(VLOOKUP(G$24,Einstellungen!$B$18:$H$25,7,FALSE)="%",(1-VLOOKUP(G$24,Einstellungen!$B$18:$H$25,5,FALSE)/100)*G31,VLOOKUP(G$24,Einstellungen!$B$18:$H$25,5,FALSE)))</f>
        <v>0</v>
      </c>
      <c r="H43" s="12">
        <f>IF(G24="",H31,IF(VLOOKUP(G$24,Einstellungen!$B$18:$H$25,7,FALSE)="%",(1-VLOOKUP(G$24,Einstellungen!$B$18:$H$25,5,FALSE)/100)*H31,VLOOKUP(G$24,Einstellungen!$B$18:$H$25,5,FALSE)))</f>
        <v>0</v>
      </c>
      <c r="I43" s="12">
        <f>IF(I24="",I31,IF(VLOOKUP(I$24,Einstellungen!$B$18:$H$25,7,FALSE)="%",(1-VLOOKUP(I$24,Einstellungen!$B$18:$H$25,5,FALSE)/100)*I31,VLOOKUP(I$24,Einstellungen!$B$18:$H$25,5,FALSE)))</f>
        <v>0</v>
      </c>
      <c r="J43" s="12">
        <f>IF(I24="",J31,IF(VLOOKUP(I$24,Einstellungen!$B$18:$H$25,7,FALSE)="%",(1-VLOOKUP(I$24,Einstellungen!$B$18:$H$25,5,FALSE)/100)*J31,VLOOKUP(I$24,Einstellungen!$B$18:$H$25,5,FALSE)))</f>
        <v>0</v>
      </c>
      <c r="K43" s="12">
        <f>IF(K24="",K31,IF(VLOOKUP(K$24,Einstellungen!$B$18:$H$25,7,FALSE)="%",(1-VLOOKUP(K$24,Einstellungen!$B$18:$H$25,5,FALSE)/100)*K31,VLOOKUP(K$24,Einstellungen!$B$18:$H$25,5,FALSE)))</f>
        <v>0</v>
      </c>
      <c r="L43" s="12">
        <f>IF(K24="",L31,IF(VLOOKUP(K$24,Einstellungen!$B$18:$H$25,7,FALSE)="%",(1-VLOOKUP(K$24,Einstellungen!$B$18:$H$25,5,FALSE)/100)*L31,VLOOKUP(K$24,Einstellungen!$B$18:$H$25,5,FALSE)))</f>
        <v>0</v>
      </c>
      <c r="M43" s="12">
        <f>IF(M24="",M31,IF(VLOOKUP(M$24,Einstellungen!$B$18:$H$25,7,FALSE)="%",(1-VLOOKUP(M$24,Einstellungen!$B$18:$H$25,5,FALSE)/100)*M31,VLOOKUP(M$24,Einstellungen!$B$18:$H$25,5,FALSE)))</f>
        <v>0</v>
      </c>
      <c r="N43" s="75">
        <f>IF(M24="",N31,IF(VLOOKUP(M$24,Einstellungen!$B$18:$H$25,7,FALSE)="%",(1-VLOOKUP(M$24,Einstellungen!$B$18:$H$25,5,FALSE)/100)*N31,VLOOKUP(M$24,Einstellungen!$B$18:$H$25,5,FALSE)))</f>
        <v>0</v>
      </c>
    </row>
    <row r="44" spans="2:14" ht="18.75" x14ac:dyDescent="0.35">
      <c r="B44" s="1" t="s">
        <v>34</v>
      </c>
      <c r="C44" s="1" t="s">
        <v>44</v>
      </c>
      <c r="D44" s="1" t="s">
        <v>3</v>
      </c>
      <c r="E44" s="11">
        <f>IF(E24="",E32,IF(VLOOKUP(E$24,Einstellungen!$B$18:$H$25,7,FALSE)="%",(1-VLOOKUP(E$24,Einstellungen!$B$18:$H$25,6,FALSE)/100)*E32,VLOOKUP(E$24,Einstellungen!$B$18:$H$25,6,FALSE)))</f>
        <v>0.52000000000000013</v>
      </c>
      <c r="F44" s="11">
        <f>IF(E24="",F32,IF(VLOOKUP(E$24,Einstellungen!$B$18:$H$25,7,FALSE)="%",(1-VLOOKUP(E$24,Einstellungen!$B$18:$H$25,6,FALSE)/100)*F32,VLOOKUP(E$24,Einstellungen!$B$18:$H$25,6,FALSE)))</f>
        <v>0.13000000000000003</v>
      </c>
      <c r="G44" s="11">
        <f>IF(G24="",G32,IF(VLOOKUP(G$24,Einstellungen!$B$18:$H$25,7,FALSE)="%",(1-VLOOKUP(G$24,Einstellungen!$B$18:$H$25,6,FALSE)/100)*G32,VLOOKUP(G$24,Einstellungen!$B$18:$H$25,6,FALSE)))</f>
        <v>0</v>
      </c>
      <c r="H44" s="11">
        <f>IF(G24="",H32,IF(VLOOKUP(G$24,Einstellungen!$B$18:$H$25,7,FALSE)="%",(1-VLOOKUP(G$24,Einstellungen!$B$18:$H$25,6,FALSE)/100)*H32,VLOOKUP(G$24,Einstellungen!$B$18:$H$25,6,FALSE)))</f>
        <v>0</v>
      </c>
      <c r="I44" s="11">
        <f>IF(I24="",I32,IF(VLOOKUP(I$24,Einstellungen!$B$18:$H$25,7,FALSE)="%",(1-VLOOKUP(I$24,Einstellungen!$B$18:$H$25,6,FALSE)/100)*I32,VLOOKUP(I$24,Einstellungen!$B$18:$H$25,6,FALSE)))</f>
        <v>0</v>
      </c>
      <c r="J44" s="11">
        <f>IF(I24="",J32,IF(VLOOKUP(I$24,Einstellungen!$B$18:$H$25,7,FALSE)="%",(1-VLOOKUP(I$24,Einstellungen!$B$18:$H$25,6,FALSE)/100)*J32,VLOOKUP(I$24,Einstellungen!$B$18:$H$25,6,FALSE)))</f>
        <v>0</v>
      </c>
      <c r="K44" s="11">
        <f>IF(K24="",K32,IF(VLOOKUP(K$24,Einstellungen!$B$18:$H$25,7,FALSE)="%",(1-VLOOKUP(K$24,Einstellungen!$B$18:$H$25,6,FALSE)/100)*K32,VLOOKUP(K$24,Einstellungen!$B$18:$H$25,6,FALSE)))</f>
        <v>0</v>
      </c>
      <c r="L44" s="11">
        <f>IF(K24="",L32,IF(VLOOKUP(K$24,Einstellungen!$B$18:$H$25,7,FALSE)="%",(1-VLOOKUP(K$24,Einstellungen!$B$18:$H$25,6,FALSE)/100)*L32,VLOOKUP(K$24,Einstellungen!$B$18:$H$25,6,FALSE)))</f>
        <v>0</v>
      </c>
      <c r="M44" s="11">
        <f>IF(M24="",M32,IF(VLOOKUP(M$24,Einstellungen!$B$18:$H$25,7,FALSE)="%",(1-VLOOKUP(M$24,Einstellungen!$B$18:$H$25,6,FALSE)/100)*M32,VLOOKUP(M$24,Einstellungen!$B$18:$H$25,6,FALSE)))</f>
        <v>0</v>
      </c>
      <c r="N44" s="76">
        <f>IF(M24="",N32,IF(VLOOKUP(M$24,Einstellungen!$B$18:$H$25,7,FALSE)="%",(1-VLOOKUP(M$24,Einstellungen!$B$18:$H$25,6,FALSE)/100)*N32,VLOOKUP(M$24,Einstellungen!$B$18:$H$25,6,FALSE)))</f>
        <v>0</v>
      </c>
    </row>
    <row r="47" spans="2:14" x14ac:dyDescent="0.25">
      <c r="B47" s="20" t="s">
        <v>56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2"/>
    </row>
    <row r="49" spans="2:13" x14ac:dyDescent="0.25">
      <c r="B49" s="7" t="s">
        <v>52</v>
      </c>
      <c r="E49" s="8" t="s">
        <v>53</v>
      </c>
      <c r="F49" s="16"/>
      <c r="G49" s="8" t="s">
        <v>54</v>
      </c>
      <c r="H49" s="16"/>
      <c r="I49" s="8" t="s">
        <v>55</v>
      </c>
      <c r="J49" s="16"/>
      <c r="K49" s="79" t="s">
        <v>56</v>
      </c>
      <c r="L49" s="79"/>
      <c r="M49" s="79"/>
    </row>
    <row r="50" spans="2:13" ht="18.75" x14ac:dyDescent="0.35">
      <c r="B50" s="1" t="s">
        <v>30</v>
      </c>
      <c r="C50" s="1" t="s">
        <v>45</v>
      </c>
      <c r="D50" s="1" t="s">
        <v>3</v>
      </c>
      <c r="E50" s="12">
        <f>(E40*$E$37+G40*$G$37+I40*$I$37+K40*$K$37+M40*$M$37)/($E$16+SUM($E$37,$G$37,$I$37,$K$37,$M$37))</f>
        <v>5.3303834808259598</v>
      </c>
      <c r="F50" s="14"/>
      <c r="G50" s="17">
        <f>(F40*$E$37+H40*$G$37+J40*$I$37+L40*$K$37+N40*$M$37)/($E$16+SUM($E$37:$M$37))*(1+Einstellungen!$C$32)</f>
        <v>2.1321533923303835</v>
      </c>
      <c r="H50" s="13"/>
      <c r="I50" s="10">
        <v>10</v>
      </c>
      <c r="J50" s="10"/>
      <c r="K50" s="78" t="str">
        <f>IF((E50+G50) &lt;=I50,"weitaus ausreichende Massnahmen",IF((E50-G50)&gt;I50,"unzureichende Massnahmen",IF(AND(E50&lt;I50,(E50+G50)&gt;I50),"ausreichende Massnahmen","potenziell unzureichende Massnahmen")))</f>
        <v>weitaus ausreichende Massnahmen</v>
      </c>
      <c r="L50" s="78"/>
      <c r="M50" s="78"/>
    </row>
    <row r="51" spans="2:13" ht="18.75" x14ac:dyDescent="0.35">
      <c r="B51" s="1" t="s">
        <v>31</v>
      </c>
      <c r="C51" s="1" t="s">
        <v>46</v>
      </c>
      <c r="D51" s="1" t="s">
        <v>3</v>
      </c>
      <c r="E51" s="12">
        <f>(E41*$E$37+G41*$G$37+I41*$I$37+K41*$K$37+M41*$M$37)/($E$16+SUM($E$37:$M$37))</f>
        <v>79.955752212389385</v>
      </c>
      <c r="F51" s="14"/>
      <c r="G51" s="17">
        <f>(F41*$E$37+H41*$G$37+J41*$I$37+L41*$K$37+N41*$M$37)/($E$16+SUM($E$37:$M$37))*(1+Einstellungen!$C$32)</f>
        <v>42.643067846607671</v>
      </c>
      <c r="H51" s="13"/>
      <c r="I51" s="10">
        <v>20</v>
      </c>
      <c r="J51" s="10"/>
      <c r="K51" s="78" t="str">
        <f t="shared" ref="K51:K54" si="0">IF((E51+G51) &lt;=I51,"weitaus ausreichende Massnahmen",IF((E51-G51)&gt;I51,"unzureichende Massnahmen",IF(AND(E51&lt;I51,(E51+G51)&gt;I51),"ausreichende Massnahmen","potenziell unzureichende Massnahmen")))</f>
        <v>unzureichende Massnahmen</v>
      </c>
      <c r="L51" s="78"/>
      <c r="M51" s="78"/>
    </row>
    <row r="52" spans="2:13" ht="18.75" x14ac:dyDescent="0.35">
      <c r="B52" s="1" t="s">
        <v>32</v>
      </c>
      <c r="C52" s="1" t="s">
        <v>47</v>
      </c>
      <c r="D52" s="1" t="s">
        <v>3</v>
      </c>
      <c r="E52" s="12">
        <f>(E42*$E$37+G42*$G$37+I42*$I$37+K42*$K$37+M42*$M$37)/($E$16+SUM($E$37:$M$37))</f>
        <v>17.767944936086529</v>
      </c>
      <c r="F52" s="14"/>
      <c r="G52" s="17">
        <f>(F42*$E$37+H42*$G$37+J42*$I$37+L42*$K$37+N42*$M$37)/($E$16+SUM($E$37:$M$37))*(1+Einstellungen!$C$32)</f>
        <v>10.660766961651918</v>
      </c>
      <c r="H52" s="13"/>
      <c r="I52" s="10">
        <v>5</v>
      </c>
      <c r="J52" s="10"/>
      <c r="K52" s="78" t="str">
        <f t="shared" si="0"/>
        <v>unzureichende Massnahmen</v>
      </c>
      <c r="L52" s="78"/>
      <c r="M52" s="78"/>
    </row>
    <row r="53" spans="2:13" ht="18.75" x14ac:dyDescent="0.35">
      <c r="B53" s="1" t="s">
        <v>33</v>
      </c>
      <c r="C53" s="1" t="s">
        <v>48</v>
      </c>
      <c r="D53" s="1" t="s">
        <v>4</v>
      </c>
      <c r="E53" s="12">
        <f>(E43*$E$37+G43*$G$37+I43*$I$37+K43*$K$37+M43*$M$37)/($E$16+SUM($E$37:$M$37))</f>
        <v>31.982300884955762</v>
      </c>
      <c r="F53" s="14"/>
      <c r="G53" s="17">
        <f>(F43*$E$37+H43*$G$37+J43*$I$37+L43*$K$37+N43*$M$37)/($E$16+SUM($E$37:$M$37))*(1+Einstellungen!$C$32)</f>
        <v>12.792920353982304</v>
      </c>
      <c r="H53" s="13"/>
      <c r="I53" s="10">
        <v>20</v>
      </c>
      <c r="J53" s="10"/>
      <c r="K53" s="78" t="str">
        <f t="shared" si="0"/>
        <v>potenziell unzureichende Massnahmen</v>
      </c>
      <c r="L53" s="78"/>
      <c r="M53" s="78"/>
    </row>
    <row r="54" spans="2:13" ht="18.75" x14ac:dyDescent="0.35">
      <c r="B54" s="1" t="s">
        <v>34</v>
      </c>
      <c r="C54" s="1" t="s">
        <v>49</v>
      </c>
      <c r="D54" s="1" t="s">
        <v>3</v>
      </c>
      <c r="E54" s="12">
        <f>(E44*$E$37+G44*$G$37+I44*$I$37+K44*$K$37+M44*$M$37)/($E$16+SUM($E$37:$M$37))</f>
        <v>0.2132153392330384</v>
      </c>
      <c r="F54" s="15"/>
      <c r="G54" s="17">
        <f>(F44*$E$37+H44*$G$37+J44*$I$37+L44*$K$37+N44*$M$37)/($E$16+SUM($E$37:$M$37))*(1+Einstellungen!$C$32)</f>
        <v>6.3964601769911519E-2</v>
      </c>
      <c r="H54" s="13"/>
      <c r="I54" s="10">
        <v>0.1</v>
      </c>
      <c r="J54" s="10"/>
      <c r="K54" s="78" t="str">
        <f t="shared" si="0"/>
        <v>unzureichende Massnahmen</v>
      </c>
      <c r="L54" s="78"/>
      <c r="M54" s="78"/>
    </row>
  </sheetData>
  <sheetProtection sheet="1" objects="1" scenarios="1"/>
  <mergeCells count="7">
    <mergeCell ref="E26:M26"/>
    <mergeCell ref="K54:M54"/>
    <mergeCell ref="K49:M49"/>
    <mergeCell ref="K50:M50"/>
    <mergeCell ref="K51:M51"/>
    <mergeCell ref="K52:M52"/>
    <mergeCell ref="K53:M53"/>
  </mergeCells>
  <conditionalFormatting sqref="E50:E54">
    <cfRule type="cellIs" dxfId="7" priority="7" operator="equal">
      <formula>0</formula>
    </cfRule>
  </conditionalFormatting>
  <conditionalFormatting sqref="E28:M32">
    <cfRule type="cellIs" dxfId="6" priority="6" operator="equal">
      <formula>0</formula>
    </cfRule>
  </conditionalFormatting>
  <conditionalFormatting sqref="E40:N44">
    <cfRule type="cellIs" dxfId="5" priority="8" operator="equal">
      <formula>0</formula>
    </cfRule>
  </conditionalFormatting>
  <conditionalFormatting sqref="G50:G54">
    <cfRule type="cellIs" dxfId="4" priority="5" operator="equal">
      <formula>0</formula>
    </cfRule>
  </conditionalFormatting>
  <conditionalFormatting sqref="K50:K54">
    <cfRule type="cellIs" dxfId="3" priority="1" operator="equal">
      <formula>"ausreichende Massnahmen"</formula>
    </cfRule>
    <cfRule type="cellIs" dxfId="2" priority="9" operator="equal">
      <formula>"potenziell unzureichende Massnahmen"</formula>
    </cfRule>
    <cfRule type="cellIs" dxfId="1" priority="10" operator="equal">
      <formula>"weitaus ausreichende Massnahmen"</formula>
    </cfRule>
    <cfRule type="cellIs" dxfId="0" priority="11" operator="equal">
      <formula>"unzureichende Massnahmen"</formula>
    </cfRule>
  </conditionalFormatting>
  <dataValidations count="1">
    <dataValidation type="list" allowBlank="1" showInputMessage="1" showErrorMessage="1" sqref="N38" xr:uid="{CB7614EF-862E-4EA4-BA47-CE5062F699A9}">
      <formula1>"Aucun traitement, Standard, Elevé, Réduit"</formula1>
    </dataValidation>
  </dataValidations>
  <pageMargins left="0.70866141732283472" right="0.70866141732283472" top="0.78740157480314965" bottom="0.74803149606299213" header="0.31496062992125984" footer="0.31496062992125984"/>
  <pageSetup paperSize="9" scale="55" fitToHeight="0" orientation="portrait" r:id="rId1"/>
  <headerFooter>
    <oddHeader xml:space="preserve">&amp;L&amp;G&amp;CStaat Freiburg, Tiefbauamt (TBA)&amp;R&amp;"-,Gras"302-3D&amp;"-,Normal", 10.12.2024
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DF7C60-AF7D-4963-AAAA-79DEFEF64736}">
          <x14:formula1>
            <xm:f>Einstellungen!$B$18:$B$25</xm:f>
          </x14:formula1>
          <xm:sqref>E24:M24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6ECF4-9C6A-4DF7-A979-1AEFC5E4D747}">
  <sheetPr>
    <pageSetUpPr fitToPage="1"/>
  </sheetPr>
  <dimension ref="A1:P32"/>
  <sheetViews>
    <sheetView zoomScaleNormal="100" zoomScalePageLayoutView="85" workbookViewId="0">
      <selection activeCell="C21" sqref="C21"/>
    </sheetView>
  </sheetViews>
  <sheetFormatPr baseColWidth="10" defaultColWidth="11.42578125" defaultRowHeight="15" x14ac:dyDescent="0.25"/>
  <cols>
    <col min="1" max="1" width="0.7109375" customWidth="1"/>
    <col min="2" max="2" width="30.42578125" customWidth="1"/>
    <col min="3" max="3" width="12.28515625" customWidth="1"/>
    <col min="4" max="5" width="11.85546875" customWidth="1"/>
    <col min="6" max="6" width="12.28515625" customWidth="1"/>
    <col min="7" max="7" width="12.5703125" customWidth="1"/>
    <col min="8" max="8" width="14.140625" customWidth="1"/>
    <col min="9" max="9" width="12.85546875" customWidth="1"/>
    <col min="10" max="10" width="5.140625" customWidth="1"/>
    <col min="11" max="11" width="0" hidden="1" customWidth="1"/>
  </cols>
  <sheetData>
    <row r="1" spans="1:16" x14ac:dyDescent="0.25">
      <c r="A1" s="1"/>
      <c r="J1" s="1"/>
      <c r="K1" s="1"/>
      <c r="L1" s="1"/>
      <c r="M1" s="1"/>
      <c r="N1" s="1"/>
      <c r="O1" s="1"/>
      <c r="P1" s="1"/>
    </row>
    <row r="2" spans="1:16" x14ac:dyDescent="0.25">
      <c r="A2" s="1"/>
      <c r="B2" s="20" t="s">
        <v>58</v>
      </c>
      <c r="C2" s="21"/>
      <c r="D2" s="21"/>
      <c r="E2" s="21"/>
      <c r="F2" s="21"/>
      <c r="G2" s="21"/>
      <c r="H2" s="21"/>
      <c r="I2" s="22"/>
      <c r="J2" s="1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x14ac:dyDescent="0.25">
      <c r="A4" s="1"/>
      <c r="B4" s="2" t="s">
        <v>59</v>
      </c>
      <c r="C4" s="1"/>
      <c r="D4" s="1"/>
      <c r="E4" s="1"/>
      <c r="F4" s="1"/>
      <c r="G4" s="62" t="s">
        <v>60</v>
      </c>
      <c r="H4" s="51"/>
      <c r="I4" s="48"/>
      <c r="K4" s="1"/>
      <c r="L4" s="1"/>
      <c r="M4" s="1"/>
      <c r="N4" s="1"/>
    </row>
    <row r="5" spans="1:16" x14ac:dyDescent="0.25">
      <c r="A5" s="1"/>
      <c r="B5" s="1"/>
      <c r="C5" s="1"/>
      <c r="D5" s="1"/>
      <c r="E5" s="1"/>
      <c r="F5" s="1"/>
      <c r="G5" s="63" t="s">
        <v>61</v>
      </c>
      <c r="H5" s="65">
        <v>15</v>
      </c>
      <c r="I5" s="49"/>
      <c r="K5" s="1"/>
      <c r="L5" s="1"/>
      <c r="M5" s="1"/>
      <c r="N5" s="1"/>
    </row>
    <row r="6" spans="1:16" x14ac:dyDescent="0.25">
      <c r="A6" s="1"/>
      <c r="B6" s="1" t="s">
        <v>84</v>
      </c>
      <c r="C6" s="1"/>
      <c r="D6" s="1"/>
      <c r="E6" s="1"/>
      <c r="F6" s="1"/>
      <c r="G6" s="64"/>
      <c r="H6" s="1"/>
      <c r="I6" s="49"/>
      <c r="K6" s="1"/>
      <c r="L6" s="1"/>
      <c r="M6" s="1"/>
      <c r="N6" s="1"/>
    </row>
    <row r="7" spans="1:16" ht="18.75" x14ac:dyDescent="0.35">
      <c r="A7" s="1"/>
      <c r="B7" s="66" t="s">
        <v>30</v>
      </c>
      <c r="C7" s="51" t="s">
        <v>62</v>
      </c>
      <c r="D7" s="60">
        <f>G7/$H$5</f>
        <v>2</v>
      </c>
      <c r="E7" s="69">
        <f>H7/G7*D7</f>
        <v>0.66666666666666663</v>
      </c>
      <c r="F7" s="48" t="s">
        <v>67</v>
      </c>
      <c r="G7" s="54">
        <v>30</v>
      </c>
      <c r="H7" s="55">
        <v>10</v>
      </c>
      <c r="I7" s="48" t="s">
        <v>6</v>
      </c>
      <c r="K7" s="1"/>
      <c r="L7" s="1"/>
      <c r="M7" s="1"/>
      <c r="N7" s="1"/>
    </row>
    <row r="8" spans="1:16" ht="18.75" x14ac:dyDescent="0.35">
      <c r="A8" s="1"/>
      <c r="B8" s="67" t="s">
        <v>31</v>
      </c>
      <c r="C8" s="1" t="s">
        <v>63</v>
      </c>
      <c r="D8" s="13">
        <f>G8/$H$5</f>
        <v>30</v>
      </c>
      <c r="E8" s="70">
        <f>H8/G8*D8</f>
        <v>13.333333333333332</v>
      </c>
      <c r="F8" s="49" t="s">
        <v>67</v>
      </c>
      <c r="G8" s="56">
        <v>450</v>
      </c>
      <c r="H8" s="53">
        <v>200</v>
      </c>
      <c r="I8" s="49" t="s">
        <v>6</v>
      </c>
      <c r="K8" s="1"/>
      <c r="L8" s="1"/>
      <c r="M8" s="1"/>
      <c r="N8" s="1"/>
    </row>
    <row r="9" spans="1:16" ht="18.75" x14ac:dyDescent="0.35">
      <c r="A9" s="1"/>
      <c r="B9" s="67" t="s">
        <v>32</v>
      </c>
      <c r="C9" s="1" t="s">
        <v>64</v>
      </c>
      <c r="D9" s="47">
        <f>G9/$H$5</f>
        <v>6.666666666666667</v>
      </c>
      <c r="E9" s="71">
        <f>H9/G9*D9</f>
        <v>3.3333333333333335</v>
      </c>
      <c r="F9" s="49" t="s">
        <v>67</v>
      </c>
      <c r="G9" s="56">
        <v>100</v>
      </c>
      <c r="H9" s="53">
        <v>50</v>
      </c>
      <c r="I9" s="49" t="s">
        <v>6</v>
      </c>
      <c r="K9" s="1"/>
      <c r="L9" s="1"/>
      <c r="M9" s="1"/>
      <c r="N9" s="1"/>
    </row>
    <row r="10" spans="1:16" ht="18.75" x14ac:dyDescent="0.35">
      <c r="A10" s="1"/>
      <c r="B10" s="67" t="s">
        <v>33</v>
      </c>
      <c r="C10" s="1" t="s">
        <v>65</v>
      </c>
      <c r="D10" s="13">
        <f>G10/$H$5</f>
        <v>20</v>
      </c>
      <c r="E10" s="71">
        <f>H10/G10*D10</f>
        <v>6.6666666666666661</v>
      </c>
      <c r="F10" s="49" t="s">
        <v>68</v>
      </c>
      <c r="G10" s="56">
        <v>300</v>
      </c>
      <c r="H10" s="53">
        <v>100</v>
      </c>
      <c r="I10" s="49" t="s">
        <v>4</v>
      </c>
      <c r="K10" s="1"/>
      <c r="L10" s="1"/>
      <c r="M10" s="1"/>
      <c r="N10" s="1"/>
    </row>
    <row r="11" spans="1:16" ht="18.75" x14ac:dyDescent="0.35">
      <c r="B11" s="68" t="s">
        <v>34</v>
      </c>
      <c r="C11" s="52" t="s">
        <v>66</v>
      </c>
      <c r="D11" s="61">
        <f>G11/$H$5</f>
        <v>0.13333333333333333</v>
      </c>
      <c r="E11" s="72">
        <f>H11/G11*D11</f>
        <v>3.3333333333333333E-2</v>
      </c>
      <c r="F11" s="50" t="s">
        <v>67</v>
      </c>
      <c r="G11" s="57">
        <v>2</v>
      </c>
      <c r="H11" s="58">
        <v>0.5</v>
      </c>
      <c r="I11" s="50" t="s">
        <v>6</v>
      </c>
    </row>
    <row r="14" spans="1:16" x14ac:dyDescent="0.25">
      <c r="B14" s="20" t="s">
        <v>69</v>
      </c>
      <c r="C14" s="21"/>
      <c r="D14" s="21"/>
      <c r="E14" s="21"/>
      <c r="F14" s="21"/>
      <c r="G14" s="21"/>
      <c r="H14" s="21"/>
      <c r="I14" s="22"/>
    </row>
    <row r="15" spans="1:16" x14ac:dyDescent="0.25">
      <c r="E15" s="1"/>
      <c r="F15" s="1"/>
      <c r="G15" s="1"/>
      <c r="H15" s="1"/>
      <c r="I15" s="1"/>
    </row>
    <row r="16" spans="1:16" x14ac:dyDescent="0.25">
      <c r="B16" s="59" t="s">
        <v>23</v>
      </c>
      <c r="C16" s="8" t="s">
        <v>7</v>
      </c>
      <c r="D16" s="8" t="s">
        <v>8</v>
      </c>
      <c r="E16" s="8" t="s">
        <v>9</v>
      </c>
      <c r="F16" s="8" t="s">
        <v>70</v>
      </c>
      <c r="G16" s="8" t="s">
        <v>71</v>
      </c>
      <c r="H16" s="8" t="s">
        <v>74</v>
      </c>
      <c r="I16" s="8" t="s">
        <v>54</v>
      </c>
    </row>
    <row r="17" spans="2:11" x14ac:dyDescent="0.25">
      <c r="B17" s="24"/>
      <c r="C17" s="73" t="s">
        <v>72</v>
      </c>
      <c r="D17" s="73" t="s">
        <v>72</v>
      </c>
      <c r="E17" s="73" t="s">
        <v>72</v>
      </c>
      <c r="F17" s="73" t="s">
        <v>73</v>
      </c>
      <c r="G17" s="73" t="s">
        <v>72</v>
      </c>
      <c r="H17" s="73" t="s">
        <v>75</v>
      </c>
      <c r="I17" s="73"/>
    </row>
    <row r="18" spans="2:11" x14ac:dyDescent="0.25">
      <c r="B18" s="25" t="s">
        <v>76</v>
      </c>
      <c r="C18" s="26">
        <v>50</v>
      </c>
      <c r="D18" s="26">
        <v>50</v>
      </c>
      <c r="E18" s="26">
        <v>50</v>
      </c>
      <c r="F18" s="27">
        <v>70</v>
      </c>
      <c r="G18" s="27">
        <v>70</v>
      </c>
      <c r="H18" s="28" t="s">
        <v>10</v>
      </c>
      <c r="I18" s="29"/>
    </row>
    <row r="19" spans="2:11" x14ac:dyDescent="0.25">
      <c r="B19" s="25" t="s">
        <v>77</v>
      </c>
      <c r="C19" s="27">
        <v>70</v>
      </c>
      <c r="D19" s="27">
        <v>70</v>
      </c>
      <c r="E19" s="27">
        <v>70</v>
      </c>
      <c r="F19" s="27">
        <v>80</v>
      </c>
      <c r="G19" s="27">
        <v>80</v>
      </c>
      <c r="H19" s="28" t="s">
        <v>10</v>
      </c>
      <c r="I19" s="29"/>
    </row>
    <row r="20" spans="2:11" x14ac:dyDescent="0.25">
      <c r="B20" s="25" t="s">
        <v>78</v>
      </c>
      <c r="C20" s="27">
        <v>90</v>
      </c>
      <c r="D20" s="27">
        <v>90</v>
      </c>
      <c r="E20" s="27">
        <v>90</v>
      </c>
      <c r="F20" s="27">
        <v>90</v>
      </c>
      <c r="G20" s="27">
        <v>90</v>
      </c>
      <c r="H20" s="28" t="s">
        <v>10</v>
      </c>
      <c r="I20" s="29"/>
    </row>
    <row r="21" spans="2:11" x14ac:dyDescent="0.25">
      <c r="B21" s="33" t="s">
        <v>75</v>
      </c>
      <c r="C21" s="34"/>
      <c r="D21" s="34"/>
      <c r="E21" s="34"/>
      <c r="F21" s="34"/>
      <c r="G21" s="34"/>
      <c r="H21" s="35" t="s">
        <v>10</v>
      </c>
      <c r="I21" s="36"/>
      <c r="K21" s="30">
        <f>COUNTBLANK(C21:G21)</f>
        <v>5</v>
      </c>
    </row>
    <row r="22" spans="2:11" x14ac:dyDescent="0.25">
      <c r="B22" s="33"/>
      <c r="C22" s="34"/>
      <c r="D22" s="34"/>
      <c r="E22" s="34"/>
      <c r="F22" s="34"/>
      <c r="G22" s="37"/>
      <c r="H22" s="35" t="s">
        <v>10</v>
      </c>
      <c r="I22" s="38"/>
      <c r="K22" s="30">
        <f>COUNTBLANK(C22:G22)</f>
        <v>5</v>
      </c>
    </row>
    <row r="23" spans="2:11" x14ac:dyDescent="0.25">
      <c r="B23" s="33"/>
      <c r="C23" s="34"/>
      <c r="D23" s="34"/>
      <c r="E23" s="34"/>
      <c r="F23" s="34"/>
      <c r="G23" s="34"/>
      <c r="H23" s="35" t="s">
        <v>10</v>
      </c>
      <c r="I23" s="39"/>
      <c r="K23" s="30">
        <f>COUNTBLANK(C23:G23)</f>
        <v>5</v>
      </c>
    </row>
    <row r="24" spans="2:11" x14ac:dyDescent="0.25">
      <c r="B24" s="33"/>
      <c r="C24" s="34"/>
      <c r="D24" s="34"/>
      <c r="E24" s="34"/>
      <c r="F24" s="34"/>
      <c r="G24" s="34"/>
      <c r="H24" s="35" t="s">
        <v>10</v>
      </c>
      <c r="I24" s="39"/>
      <c r="K24" s="30">
        <f>COUNTBLANK(C24:G24)</f>
        <v>5</v>
      </c>
    </row>
    <row r="25" spans="2:11" x14ac:dyDescent="0.25">
      <c r="B25" s="33"/>
      <c r="C25" s="34"/>
      <c r="D25" s="34"/>
      <c r="E25" s="34"/>
      <c r="F25" s="34"/>
      <c r="G25" s="34"/>
      <c r="H25" s="35" t="s">
        <v>10</v>
      </c>
      <c r="I25" s="39"/>
      <c r="K25" s="30">
        <f>COUNTBLANK(C25:G25)</f>
        <v>5</v>
      </c>
    </row>
    <row r="26" spans="2:11" x14ac:dyDescent="0.25">
      <c r="B26" s="31" t="s">
        <v>79</v>
      </c>
    </row>
    <row r="28" spans="2:11" x14ac:dyDescent="0.25">
      <c r="B28" s="80" t="s">
        <v>80</v>
      </c>
      <c r="C28" s="81"/>
      <c r="D28" s="81"/>
      <c r="E28" s="81"/>
      <c r="F28" s="81"/>
      <c r="G28" s="81"/>
      <c r="H28" s="81"/>
      <c r="I28" s="81"/>
    </row>
    <row r="30" spans="2:11" x14ac:dyDescent="0.25">
      <c r="B30" t="s">
        <v>81</v>
      </c>
      <c r="C30" s="40">
        <v>10</v>
      </c>
      <c r="D30" s="19" t="s">
        <v>11</v>
      </c>
    </row>
    <row r="32" spans="2:11" x14ac:dyDescent="0.25">
      <c r="B32" t="s">
        <v>82</v>
      </c>
      <c r="C32" s="41">
        <v>0.2</v>
      </c>
    </row>
  </sheetData>
  <mergeCells count="1">
    <mergeCell ref="B28:I28"/>
  </mergeCells>
  <phoneticPr fontId="9" type="noConversion"/>
  <dataValidations disablePrompts="1" count="1">
    <dataValidation type="list" allowBlank="1" showInputMessage="1" showErrorMessage="1" sqref="H21:H25" xr:uid="{E00DA348-6C63-4F68-908A-48673BB03D25}">
      <formula1>"%,concentration"</formula1>
    </dataValidation>
  </dataValidations>
  <pageMargins left="0.7" right="0.7" top="0.90617647058823525" bottom="0.75" header="0.3" footer="0.3"/>
  <pageSetup paperSize="9" scale="83" fitToHeight="0" orientation="portrait" r:id="rId1"/>
  <headerFooter>
    <oddHeader xml:space="preserve">&amp;L&amp;G&amp;CStaat Freiburg, Tiefbauamt (TBA)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A9801E421252439B17FC46A00E1E45" ma:contentTypeVersion="11" ma:contentTypeDescription="Crée un document." ma:contentTypeScope="" ma:versionID="d3320a36414340699f2d5945cbe5dbf9">
  <xsd:schema xmlns:xsd="http://www.w3.org/2001/XMLSchema" xmlns:xs="http://www.w3.org/2001/XMLSchema" xmlns:p="http://schemas.microsoft.com/office/2006/metadata/properties" xmlns:ns2="87262fca-adad-438a-ac08-ad0e35f9d20a" xmlns:ns3="87ca3701-d0ff-4750-b902-4c85910941d3" targetNamespace="http://schemas.microsoft.com/office/2006/metadata/properties" ma:root="true" ma:fieldsID="d81bc8b7d86557bfe8c6271dc5352145" ns2:_="" ns3:_="">
    <xsd:import namespace="87262fca-adad-438a-ac08-ad0e35f9d20a"/>
    <xsd:import namespace="87ca3701-d0ff-4750-b902-4c85910941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262fca-adad-438a-ac08-ad0e35f9d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c70c61eb-e79b-4637-bec8-a34fd4ab49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a3701-d0ff-4750-b902-4c85910941d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ccb492-f622-4ef9-9ff3-693deb9ac613}" ma:internalName="TaxCatchAll" ma:showField="CatchAllData" ma:web="87ca3701-d0ff-4750-b902-4c8591094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ca3701-d0ff-4750-b902-4c85910941d3" xsi:nil="true"/>
    <lcf76f155ced4ddcb4097134ff3c332f xmlns="87262fca-adad-438a-ac08-ad0e35f9d20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343431-094B-4628-80B8-E5803C74E7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262fca-adad-438a-ac08-ad0e35f9d20a"/>
    <ds:schemaRef ds:uri="87ca3701-d0ff-4750-b902-4c85910941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9DB8DC-1050-4FEC-8D65-07E9A5CF8216}">
  <ds:schemaRefs>
    <ds:schemaRef ds:uri="http://schemas.microsoft.com/office/2006/metadata/properties"/>
    <ds:schemaRef ds:uri="http://schemas.microsoft.com/office/infopath/2007/PartnerControls"/>
    <ds:schemaRef ds:uri="87ca3701-d0ff-4750-b902-4c85910941d3"/>
    <ds:schemaRef ds:uri="87262fca-adad-438a-ac08-ad0e35f9d20a"/>
  </ds:schemaRefs>
</ds:datastoreItem>
</file>

<file path=customXml/itemProps3.xml><?xml version="1.0" encoding="utf-8"?>
<ds:datastoreItem xmlns:ds="http://schemas.openxmlformats.org/officeDocument/2006/customXml" ds:itemID="{02030E81-1117-4AE6-879E-3D554EBB4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Überprüfung Grenzwerte</vt:lpstr>
      <vt:lpstr>Einstellungen</vt:lpstr>
      <vt:lpstr>'Überprüfung Grenzwerte'!Zone_d_impression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Gaertner</dc:creator>
  <cp:keywords/>
  <dc:description/>
  <cp:lastModifiedBy>Becker Raphaël</cp:lastModifiedBy>
  <cp:revision/>
  <cp:lastPrinted>2024-12-11T12:56:56Z</cp:lastPrinted>
  <dcterms:created xsi:type="dcterms:W3CDTF">2015-06-05T18:19:34Z</dcterms:created>
  <dcterms:modified xsi:type="dcterms:W3CDTF">2026-02-04T07:04:01Z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0x0101000EA9801E421252439B17FC46A00E1E45</vt:lpwstr>
  </property>
  <property fmtid="{D5CDD505-2E9C-101B-9397-08002B2CF9AE}" pid="3" name="MediaServiceImageTags">
    <vt:lpwstr/>
  </property>
</Properties>
</file>