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uetatfr.sharepoint.com/teams/fritic-GT-EdNum20222026-COPRO/Shared Documents/COPRO/01_JD1_Initialisation/Dossier Stratégie EdNum/Dossier de consultation/Annexes/"/>
    </mc:Choice>
  </mc:AlternateContent>
  <xr:revisionPtr revIDLastSave="0" documentId="8_{89F3A25C-53EC-42FB-9605-40372578803B}" xr6:coauthVersionLast="47" xr6:coauthVersionMax="47" xr10:uidLastSave="{00000000-0000-0000-0000-000000000000}"/>
  <bookViews>
    <workbookView showHorizontalScroll="0" showSheetTabs="0" xWindow="40920" yWindow="-120" windowWidth="29040" windowHeight="15720" activeTab="1" xr2:uid="{4BCECAC9-512D-4887-91DB-C4AAA4D8E1B0}"/>
  </bookViews>
  <sheets>
    <sheet name="Description" sheetId="5" r:id="rId1"/>
    <sheet name="Calculateur" sheetId="6" r:id="rId2"/>
    <sheet name="Récapitulatif financier" sheetId="2" state="hidden" r:id="rId3"/>
  </sheets>
  <definedNames>
    <definedName name="_xlnm.Print_Area" localSheetId="1">Calculateur!$A$1:$G$110</definedName>
    <definedName name="_xlnm.Print_Area" localSheetId="0">Description!$A$1:$E$10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6" l="1" a="1"/>
  <c r="C33" i="6" s="1"/>
  <c r="D33" i="6" s="1"/>
  <c r="C28" i="6"/>
  <c r="D28" i="6" s="1"/>
  <c r="AO78" i="6"/>
  <c r="E24" i="6"/>
  <c r="C24" i="6"/>
  <c r="C34" i="6"/>
  <c r="D34" i="6" s="1"/>
  <c r="C32" i="6"/>
  <c r="D32" i="6" s="1"/>
  <c r="C30" i="6"/>
  <c r="D30" i="6" s="1"/>
  <c r="C29" i="6"/>
  <c r="D29" i="6" s="1"/>
  <c r="C27" i="6"/>
  <c r="D27" i="6" s="1"/>
  <c r="C26" i="6"/>
  <c r="D26" i="6" s="1"/>
  <c r="C25" i="6"/>
  <c r="D25" i="6" s="1"/>
  <c r="D80" i="6" l="1"/>
  <c r="C48" i="6"/>
  <c r="G67" i="6"/>
  <c r="F80" i="6"/>
  <c r="D79" i="6"/>
  <c r="E79" i="6" s="1"/>
  <c r="F63" i="6"/>
  <c r="D77" i="6"/>
  <c r="E77" i="6" s="1"/>
  <c r="D63" i="6"/>
  <c r="D62" i="6"/>
  <c r="E62" i="6" s="1"/>
  <c r="E12" i="2"/>
  <c r="D61" i="6"/>
  <c r="E61" i="6" s="1"/>
  <c r="D60" i="6"/>
  <c r="E60" i="6" s="1"/>
  <c r="D58" i="6"/>
  <c r="E58" i="6" s="1"/>
  <c r="E32" i="2"/>
  <c r="E33" i="2" s="1"/>
  <c r="E34" i="2" s="1"/>
  <c r="D32" i="2"/>
  <c r="D33" i="2" s="1"/>
  <c r="C31" i="2"/>
  <c r="C33" i="2" s="1"/>
  <c r="C34" i="2" s="1"/>
  <c r="B31" i="2"/>
  <c r="B33" i="2" s="1"/>
  <c r="D74" i="6" l="1"/>
  <c r="E74" i="6" s="1"/>
  <c r="D59" i="6"/>
  <c r="D67" i="6"/>
  <c r="E67" i="6" s="1"/>
  <c r="E80" i="6"/>
  <c r="D73" i="6"/>
  <c r="E73" i="6" s="1"/>
  <c r="D71" i="6"/>
  <c r="D55" i="6"/>
  <c r="E55" i="6" s="1"/>
  <c r="D68" i="6"/>
  <c r="E68" i="6" s="1"/>
  <c r="D66" i="6"/>
  <c r="E66" i="6" s="1"/>
  <c r="G70" i="6"/>
  <c r="G61" i="6"/>
  <c r="G56" i="6"/>
  <c r="G57" i="6"/>
  <c r="G74" i="6"/>
  <c r="G66" i="6"/>
  <c r="G59" i="6"/>
  <c r="G72" i="6"/>
  <c r="G62" i="6"/>
  <c r="G71" i="6"/>
  <c r="G75" i="6"/>
  <c r="G55" i="6"/>
  <c r="G60" i="6"/>
  <c r="G68" i="6"/>
  <c r="G73" i="6"/>
  <c r="E63" i="6"/>
  <c r="E59" i="6"/>
  <c r="D70" i="6"/>
  <c r="E70" i="6" s="1"/>
  <c r="D72" i="6"/>
  <c r="AU78" i="6" s="1"/>
  <c r="D75" i="6"/>
  <c r="E75" i="6" s="1"/>
  <c r="D56" i="6"/>
  <c r="D57" i="6" s="1"/>
  <c r="D64" i="6"/>
  <c r="E71" i="6" l="1"/>
  <c r="E72" i="6"/>
  <c r="E56" i="6"/>
  <c r="E57" i="6"/>
  <c r="E64" i="6"/>
  <c r="D83" i="6" s="1"/>
  <c r="AQ62" i="6" l="1"/>
  <c r="AS62" i="6"/>
  <c r="AO62" i="6"/>
  <c r="AR62" i="6"/>
  <c r="AT62" i="6"/>
  <c r="AP62" i="6"/>
  <c r="D82" i="6"/>
  <c r="D87" i="6" s="1"/>
  <c r="D86" i="6"/>
  <c r="AQ68" i="6" l="1"/>
  <c r="AT68" i="6"/>
  <c r="AP68" i="6"/>
  <c r="AS68" i="6"/>
  <c r="AO68" i="6"/>
  <c r="AR68" i="6"/>
  <c r="AU68" i="6"/>
  <c r="AN68" i="6"/>
  <c r="D84" i="6"/>
  <c r="AU62" i="6" l="1"/>
  <c r="AN62" i="6"/>
  <c r="D24" i="6"/>
  <c r="D35" i="6" s="1"/>
  <c r="AS78" i="6" l="1"/>
  <c r="AN7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Bersier Christian</author>
  </authors>
  <commentList>
    <comment ref="B57" authorId="0" shapeId="0" xr:uid="{B94E021F-645B-4D56-B7F6-64C843AEF33D}">
      <text>
        <r>
          <rPr>
            <sz val="9"/>
            <color rgb="FF000000"/>
            <rFont val="Tahoma"/>
            <family val="2"/>
          </rPr>
          <t>valeur non modifiable définie sur la base de 1 antenne WiFi à configurer et à installer par salle</t>
        </r>
      </text>
    </comment>
    <comment ref="B58" authorId="0" shapeId="0" xr:uid="{5CCFA357-F8F8-4D09-80F3-B96E96B3B2C4}">
      <text>
        <r>
          <rPr>
            <sz val="9"/>
            <color rgb="FF000000"/>
            <rFont val="Tahoma"/>
            <family val="2"/>
          </rPr>
          <t>valeur non modifiable définie sur la base de 1 par bâtiments avec des antennes WiFi à gérer</t>
        </r>
      </text>
    </comment>
    <comment ref="B63" authorId="0" shapeId="0" xr:uid="{1CE9BC7F-69E4-4612-A801-BE8483959E55}">
      <text>
        <r>
          <rPr>
            <sz val="9"/>
            <color rgb="FF000000"/>
            <rFont val="Tahoma"/>
            <family val="2"/>
          </rPr>
          <t>valeur non modifiable définie sur la base de 1 firewall par accès Internet (calcul sur la base de l'option de sécurité</t>
        </r>
      </text>
    </comment>
    <comment ref="B64" authorId="0" shapeId="0" xr:uid="{EB2EA1AE-29B9-4A72-8C19-BE6ECAD51A74}">
      <text>
        <r>
          <rPr>
            <sz val="9"/>
            <color rgb="FF000000"/>
            <rFont val="Tahoma"/>
            <family val="2"/>
          </rPr>
          <t xml:space="preserve">valeur non modifiable définie sur la base de 1 unité de coûts par salle de classe
</t>
        </r>
      </text>
    </comment>
    <comment ref="B77" authorId="0" shapeId="0" xr:uid="{36C997C3-1748-432B-9615-C9F33A882D72}">
      <text>
        <r>
          <rPr>
            <sz val="9"/>
            <color rgb="FF000000"/>
            <rFont val="Tahoma"/>
            <family val="2"/>
          </rPr>
          <t>valeur non modifiable définie sur la base de 1 appareil par bâtiment scolaire (location sans les coûts d'impression par feuille)</t>
        </r>
      </text>
    </comment>
    <comment ref="B79" authorId="0" shapeId="0" xr:uid="{E336D3C1-C519-4F7C-8D6A-19F1169FD136}">
      <text>
        <r>
          <rPr>
            <sz val="9"/>
            <color rgb="FF000000"/>
            <rFont val="Tahoma"/>
            <family val="2"/>
          </rPr>
          <t>valeur non modifiable définie sur la base de 1 unité de coûts par bâtiment; ne comprend pas le support informatique sur les applications et les PC</t>
        </r>
      </text>
    </comment>
    <comment ref="B80" authorId="0" shapeId="0" xr:uid="{F40E3C41-0960-4801-A9C2-A19FDE841A85}">
      <text>
        <r>
          <rPr>
            <sz val="9"/>
            <color rgb="FF000000"/>
            <rFont val="Tahoma"/>
            <family val="2"/>
          </rPr>
          <t>valeur non modifiable définie sur la base de 1 unité de coûts pour 5 salles de classe; support technique pour l'utilisateur (enseignant)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<sst xmlns="http://schemas.openxmlformats.org/spreadsheetml/2006/main" count="203" uniqueCount="169">
  <si>
    <t>Réseau</t>
  </si>
  <si>
    <r>
      <t xml:space="preserve">Multimédia </t>
    </r>
    <r>
      <rPr>
        <sz val="11"/>
        <color theme="1"/>
        <rFont val="Calibri"/>
        <family val="2"/>
        <scheme val="minor"/>
      </rPr>
      <t>(sans la maintenance)</t>
    </r>
  </si>
  <si>
    <t>Système d'impression</t>
  </si>
  <si>
    <t xml:space="preserve">Saisissez ici un texte libre (par exemple le nom de l'école et des options de calcul)
</t>
  </si>
  <si>
    <t>Nombre de bâtiments</t>
  </si>
  <si>
    <t>Source des données de calcul : feuille masquée "Récapitulatif financier" du 11.8.2021</t>
  </si>
  <si>
    <t>Nombre  d'étages</t>
  </si>
  <si>
    <t>Nombre de salles de classe standards</t>
  </si>
  <si>
    <t>Total des salles à équiper</t>
  </si>
  <si>
    <t>Coûts uniques</t>
  </si>
  <si>
    <t>Existants - à conserver</t>
  </si>
  <si>
    <t>Manquant - à renouveler</t>
  </si>
  <si>
    <t>Coûts annuel</t>
  </si>
  <si>
    <t>Prix par salle ou bâtiment</t>
  </si>
  <si>
    <t>Système de rangement (chariot) et de charge</t>
  </si>
  <si>
    <t>Point d'accès WiFi</t>
  </si>
  <si>
    <t>Coût d'installation point d'accès WiFi</t>
  </si>
  <si>
    <t>Controlleurs+licences pour gestion de antennes WiFi</t>
  </si>
  <si>
    <t>Câblage cat. 6A (tirage)</t>
  </si>
  <si>
    <t xml:space="preserve">Switch d'étage </t>
  </si>
  <si>
    <t xml:space="preserve">Armoires réseau (switch) </t>
  </si>
  <si>
    <t xml:space="preserve">Connexion Internet école </t>
  </si>
  <si>
    <t xml:space="preserve">Sécurité et Firewall </t>
  </si>
  <si>
    <t>Contrat de maintenance réseau</t>
  </si>
  <si>
    <t xml:space="preserve">Prises électriques </t>
  </si>
  <si>
    <t xml:space="preserve">Fusibles (câblage) </t>
  </si>
  <si>
    <t>Tirage de câble</t>
  </si>
  <si>
    <t>Système de projection (incl. mise en service)</t>
  </si>
  <si>
    <t>Système audio</t>
  </si>
  <si>
    <t xml:space="preserve">Caméra de document </t>
  </si>
  <si>
    <t>Système de partage d'écran</t>
  </si>
  <si>
    <t xml:space="preserve">Câbles et petit matériel </t>
  </si>
  <si>
    <t>Caméra et micro pour enseignement à distance</t>
  </si>
  <si>
    <t>Imprimante/Photocopieur/Scanner + OCR</t>
  </si>
  <si>
    <t>Correspondant informatique infrastructures (UNIQUEMENT)</t>
  </si>
  <si>
    <t>Support technique de proximité</t>
  </si>
  <si>
    <t>Coûts totaux uniques (à renouveller tous les 7 ans)</t>
  </si>
  <si>
    <t>Coûts totaux annuels (hors renouvellement)</t>
  </si>
  <si>
    <t>Coûts totaux tous les 7 ans (avec renouvellement)</t>
  </si>
  <si>
    <t>Coûts par salle (hors renouvellement)</t>
  </si>
  <si>
    <t>Coûts par salle tous les 7 ans (avec renouvellement)</t>
  </si>
  <si>
    <t>Par classe</t>
  </si>
  <si>
    <t>Par bâtiment</t>
  </si>
  <si>
    <t>Remarques</t>
  </si>
  <si>
    <t>Chiffres au 11.8.2021</t>
  </si>
  <si>
    <t>Unique</t>
  </si>
  <si>
    <t>Annuels</t>
  </si>
  <si>
    <t>à réévaluer; C3 : pas besoin parce que chargement personnel ?</t>
  </si>
  <si>
    <t>Antenne  WiFi</t>
  </si>
  <si>
    <t>1 antenne WiFi/salle de classe, prix moyen SITel</t>
  </si>
  <si>
    <t>Coût d'installation antenne WiFi</t>
  </si>
  <si>
    <t>1 Câble cat. 6A (tirage)</t>
  </si>
  <si>
    <t>Switch d'étage (24 ports) (renouvellement tous les 7 ans)</t>
  </si>
  <si>
    <t>1 port/antenne + 1 port/monitoring</t>
  </si>
  <si>
    <t>Armoires par switch (pose inclus)</t>
  </si>
  <si>
    <t>Connexion Internet école</t>
  </si>
  <si>
    <t xml:space="preserve">SBC swisscom mise en service (500.-/1000.-) </t>
  </si>
  <si>
    <t>Firewall (30 CHF/mois)</t>
  </si>
  <si>
    <t>SBC swisscom sécurité (30.-/mois)</t>
  </si>
  <si>
    <t>?? évaluation par antenne/classe</t>
  </si>
  <si>
    <t>Controlleurs WiFi+licences pour gestion de antennes</t>
  </si>
  <si>
    <t>(cantonalisation : 100k pour un système centralisé)</t>
  </si>
  <si>
    <r>
      <t xml:space="preserve">Electricité </t>
    </r>
    <r>
      <rPr>
        <sz val="11"/>
        <color theme="1"/>
        <rFont val="Calibri"/>
        <family val="2"/>
        <scheme val="minor"/>
      </rPr>
      <t>(sans la consommation ni maintenance)</t>
    </r>
  </si>
  <si>
    <t>Investissement unique prises électriques</t>
  </si>
  <si>
    <t>2 prises</t>
  </si>
  <si>
    <t>Fusibles (cablage)</t>
  </si>
  <si>
    <t>2500W/fusible</t>
  </si>
  <si>
    <t>Tirage de câble (prix/m dans tuyaux existants)</t>
  </si>
  <si>
    <t>Système de projection (incl. Mise en service)</t>
  </si>
  <si>
    <t>Coût moyen entre écrans et beamer</t>
  </si>
  <si>
    <t>Système audio (barre son active) --&gt; Bluetooth</t>
  </si>
  <si>
    <t>Sound Bar Neets SB1, Barre de son Crestron SAROS SB-200-P active 2x, 20W</t>
  </si>
  <si>
    <t>Caméra de document</t>
  </si>
  <si>
    <t>Prix AOP (checker avec CBR ??)</t>
  </si>
  <si>
    <t>AirPlay + Miracast</t>
  </si>
  <si>
    <t>Câbles et petit matériel</t>
  </si>
  <si>
    <t>Prix du Owl</t>
  </si>
  <si>
    <t>Imprimante/Photocopieuse/Scanneuse + OCR</t>
  </si>
  <si>
    <t>Une imprimante par étage, …</t>
  </si>
  <si>
    <t>Personnel, lien avec les entreprises prestataires + support niveau 0 (support de proximité)</t>
  </si>
  <si>
    <t>2.38 EPT = 1 h/mois par bâtiment, 80.-*12 (exclu la mise en place)</t>
  </si>
  <si>
    <t>Coûts totaux : (formules)</t>
  </si>
  <si>
    <t>Coût par salle de classe</t>
  </si>
  <si>
    <t xml:space="preserve">Coût par bâtiment </t>
  </si>
  <si>
    <t>Total * nombre de bâtiments et classe</t>
  </si>
  <si>
    <t>(128 communes en 2021, mais dépend de la taille de la commune)</t>
  </si>
  <si>
    <r>
      <t xml:space="preserve">Maintenance </t>
    </r>
    <r>
      <rPr>
        <b/>
        <sz val="11"/>
        <color theme="1"/>
        <rFont val="Calibri"/>
        <family val="2"/>
        <scheme val="minor"/>
      </rPr>
      <t>sur 5 ans</t>
    </r>
  </si>
  <si>
    <t>CALCULATEUR</t>
  </si>
  <si>
    <t>RÉSEAU</t>
  </si>
  <si>
    <t>ÉLECTRICITÉ (sans la consommation ni la maintenance)</t>
  </si>
  <si>
    <t>MULTIMÉDIA (sans la maintenance)</t>
  </si>
  <si>
    <t>SYSTÈME D'IMPRESSION</t>
  </si>
  <si>
    <t>PERSONNEL pour le lien avec les entreprises prestataires + support niveau 0 (support de proximité)</t>
  </si>
  <si>
    <r>
      <rPr>
        <sz val="14"/>
        <color theme="0"/>
        <rFont val="Calibri (Corps)"/>
      </rPr>
      <t>TOTAL</t>
    </r>
    <r>
      <rPr>
        <sz val="11"/>
        <color theme="0"/>
        <rFont val="Calibri"/>
        <family val="2"/>
        <scheme val="minor"/>
      </rPr>
      <t xml:space="preserve">
des salles de classe et des bâtiments</t>
    </r>
  </si>
  <si>
    <t>maintenance</t>
  </si>
  <si>
    <t>renouvellement</t>
  </si>
  <si>
    <t xml:space="preserve"> </t>
  </si>
  <si>
    <t>à payer par année</t>
  </si>
  <si>
    <t>MOYENNE</t>
  </si>
  <si>
    <t>des coûts annuels par salle</t>
  </si>
  <si>
    <t>DESCRIPTION</t>
  </si>
  <si>
    <t>OBJECTIF</t>
  </si>
  <si>
    <t>COMMENT PROCÉDER</t>
  </si>
  <si>
    <r>
      <rPr>
        <sz val="11"/>
        <color rgb="FF1FB7C6"/>
        <rFont val="Calibri (Corps)"/>
      </rPr>
      <t>•</t>
    </r>
    <r>
      <rPr>
        <sz val="11"/>
        <color theme="1"/>
        <rFont val="Calibri"/>
        <family val="2"/>
        <scheme val="minor"/>
      </rPr>
      <t xml:space="preserve"> Cliquer sur le bouton "Calculateur" en haut à droite
</t>
    </r>
    <r>
      <rPr>
        <sz val="11"/>
        <color rgb="FF1FB7C6"/>
        <rFont val="Calibri (Corps)"/>
      </rPr>
      <t>•</t>
    </r>
    <r>
      <rPr>
        <sz val="11"/>
        <color theme="1"/>
        <rFont val="Calibri"/>
        <family val="2"/>
        <scheme val="minor"/>
      </rPr>
      <t xml:space="preserve"> Cliquer sur le champ à modifier et taper la nouvelle valeur; valider avec la touche &lt;Entrée&gt; du clavier
</t>
    </r>
    <r>
      <rPr>
        <sz val="11"/>
        <color rgb="FF1FB7C6"/>
        <rFont val="Calibri (Corps)"/>
      </rPr>
      <t>•</t>
    </r>
    <r>
      <rPr>
        <sz val="11"/>
        <color theme="1"/>
        <rFont val="Calibri"/>
        <family val="2"/>
        <scheme val="minor"/>
      </rPr>
      <t xml:space="preserve"> Adapter à votre situation, le nombre de bâtiments et d'étages, de salles de classe standards, de salles d'activités créatrices manuelles (ACM). Pour les bâtiments la règle suivante est à considérer : 1 bâtiment = une construction isolé ou plusieurs constructions constituant une entité de bâtiments interconnectés situés au même endroit 
Les autres types de salles comme les salles de sport, aulas, bureaux de psychologie ou de Direction, salles des maîtres, biblitohèques scolaires etc. ne sont pas prises en compte dans ce calculateur. Elles doivent faire l'objet d'une évaluation séparée par la commune en fonction de la situation locale et de leur usage.
</t>
    </r>
    <r>
      <rPr>
        <sz val="11"/>
        <color rgb="FF1FB7C6"/>
        <rFont val="Calibri (Corps)"/>
      </rPr>
      <t>•</t>
    </r>
    <r>
      <rPr>
        <sz val="11"/>
        <color theme="1"/>
        <rFont val="Calibri"/>
        <family val="2"/>
        <scheme val="minor"/>
      </rPr>
      <t xml:space="preserve"> Modifier pour les salles et bâtiments le nombre d'équipement déjà existant et à conserver. Le nombre  de ce qui est "Manquant - à renouveler" se calcule automatiquement en fonction du nombre de salles, de bâtiments et d'étages.
</t>
    </r>
  </si>
  <si>
    <t>Désignation de l'équipement / l'infrastructure : informations complémentaires</t>
  </si>
  <si>
    <t>Système de rangement (chariot) et de charge : 1 équipement par salle : valises, chariots, armoires, etc, systèmes de recharge pour les PC, tablettes, …</t>
  </si>
  <si>
    <t>Point d'accès WiFi : 1 antenne WiFi par salle de classe</t>
  </si>
  <si>
    <t>Coût d'installation point d'accès WiFi : valeur non modifiable définie sur la base de 1 antenne WiFi à configurer et à installer par salle</t>
  </si>
  <si>
    <t>Controlleurs+licences pour gestion de antennes WiFi :  valeur non modifiable définie sur la base de 1 par bâtiments avec des antennes WiFi à gérer</t>
  </si>
  <si>
    <t>Câblage cat. 6A (tirage) : 1 câble par salle à installer et tirer dans les gaines existantes de chaque salle</t>
  </si>
  <si>
    <t xml:space="preserve">Switch d'étage : 1 switch par étage  </t>
  </si>
  <si>
    <t>Armoires réseau (switch) : 1 armoire/switch</t>
  </si>
  <si>
    <t>Connexion Internet école : 1 accès / bâtiment; calcul sur la base du produit Smart Business Connect (SBC) de Swisscom avec rabais internet à l'école de Swisscom</t>
  </si>
  <si>
    <t>Sécurité et Firewall :  valeur non modifiable définie sur la base de 1 firewall par accès Internet (calcul sur la base de l'option de sécurité spécifique pour les écoles du produit SBC de Swisscom)</t>
  </si>
  <si>
    <t>Contrat de maintenance réseau : valeur non modifiable définie sur la base de 1 unité de coûts par salle de classe</t>
  </si>
  <si>
    <t>Electricité (sans la consommation ni la maintenance)</t>
  </si>
  <si>
    <t>Prises électriques : 1 unité par salle (correspond à 2 prises 230 V)</t>
  </si>
  <si>
    <t xml:space="preserve">Fusibles (câblage) : 1 fusible pour 3 salles de classe (exigence min. 2500W) </t>
  </si>
  <si>
    <t>Tirage de câble : 1 unité par salle (câbles electriques à installer et tirer dans les canaux existants)</t>
  </si>
  <si>
    <t>Système de projection (incl. mise en service) : 1 équipement par salle avec connectivité sans fil (par exemple Miracast): beamer standard ou ultra courte focale; écran TV LED ou tableau blanc interactif; beamer interactif</t>
  </si>
  <si>
    <t>Système audio : 1 équipement par salle : barres son active (Bluetooth)</t>
  </si>
  <si>
    <t>Caméra de document : 1 équipement par salle</t>
  </si>
  <si>
    <t>Système de partage d'écran : 1 équipement par salle</t>
  </si>
  <si>
    <t>Câbles et petit matériel : 1 set par salle (adaptateur de câbles; câbles de réserve, casques audio avec micro, etc.)</t>
  </si>
  <si>
    <t>Caméra et micro pour enseignement à distance : 1 équipement par salle</t>
  </si>
  <si>
    <t>Imprimante/Photocopieuse/Scanneuse + OCR : valeur non modifiable définie sur la base de 1 appareil par bâtiment scolaire (location sans les coûts d'impression par feuille)</t>
  </si>
  <si>
    <t>Personnel pour le lien avec les entreprises prestataires + support niveau 0 (support de proximité)</t>
  </si>
  <si>
    <t>Correspondant informatique infrastructures (UNIQUEMENT): valeur non modifiable définie sur la base de 1 unité de coûts par bâtiment; ne comprend pas le support informatique sur les applications et les PC
Support technique de proximité : valeur non modifiable définie sur la base de 1 unité de coûts pour 5 salles de classe; support technique pour l'utilisateur (enseignant)</t>
  </si>
  <si>
    <t>Nombre de salles AC&amp;M</t>
  </si>
  <si>
    <t>DÉSIGNATION</t>
  </si>
  <si>
    <t>Nombre d'élèves 1-2H</t>
  </si>
  <si>
    <t>Nombre d'élèves 3-4H</t>
  </si>
  <si>
    <t>Nombre d'élèves 5-6H</t>
  </si>
  <si>
    <t>Nombre d'élèves 7-8H</t>
  </si>
  <si>
    <t>Nombre d'élèves 9-11H</t>
  </si>
  <si>
    <t>Nombre d'équipement</t>
  </si>
  <si>
    <t>Nombre de personnes du corps enseignant</t>
  </si>
  <si>
    <t>à économiser par année</t>
  </si>
  <si>
    <t>Elèves 1-2H (1 pour 5 élèves) (prix moyen de 500 CHF)</t>
  </si>
  <si>
    <t>Elèves 3-4H (1 pour 4 élèves) (prix moyen de 550 CHF)</t>
  </si>
  <si>
    <t>Elèves 5-6H (1 pour 3 élèves) (prix moyen de 600 CHF)</t>
  </si>
  <si>
    <t>Elèves 7-8H (1 pour 2 élèves) (Prix moyen de 1000 CHF)</t>
  </si>
  <si>
    <t>Elèves 9-11H (1 par élève) (Prix moyen de 1000 CHF)</t>
  </si>
  <si>
    <t>Corps enseignant (1 par personne) (Prix moyen de 1000 CHF)</t>
  </si>
  <si>
    <t>Ecran + Docking-station dans les salles de classe (Prix moyen de 370 CHF)</t>
  </si>
  <si>
    <t>Coût équipement</t>
  </si>
  <si>
    <t>TOTAL (à charge du canton)</t>
  </si>
  <si>
    <t>TOTAL (à charge de la commune)</t>
  </si>
  <si>
    <t>DÉPENSES COMMUNALES</t>
  </si>
  <si>
    <t>MATÉRIEL INFORMATIQUE</t>
  </si>
  <si>
    <t xml:space="preserve">DÉPENSES CANTONALES </t>
  </si>
  <si>
    <t>(économies communales potentielles)</t>
  </si>
  <si>
    <t>année n</t>
  </si>
  <si>
    <t>année n+1</t>
  </si>
  <si>
    <t>année n+2</t>
  </si>
  <si>
    <t>année n+3</t>
  </si>
  <si>
    <t>année n+4</t>
  </si>
  <si>
    <t>année n+5=n1</t>
  </si>
  <si>
    <t>année n1+1</t>
  </si>
  <si>
    <t>année n1+2</t>
  </si>
  <si>
    <t>TOTAL</t>
  </si>
  <si>
    <r>
      <t xml:space="preserve">Personnel ADMINISTRATIF CANTONAL (1 par personne) </t>
    </r>
    <r>
      <rPr>
        <sz val="10"/>
        <color theme="1"/>
        <rFont val="Calibri (Corps)"/>
      </rPr>
      <t>(Prix moyen de 1000 CHF)</t>
    </r>
  </si>
  <si>
    <t>RÉSEAU &amp; PÉRIPHÉRIQUES</t>
  </si>
  <si>
    <t xml:space="preserve">Ce calculateur a pour objectif d'aider les communes à estimer les coûts d'investissement et de maintenance de l'intallation réseau et périphériques TIC nécessaires dans les salles de cours des bâtiments scolaires pour répondre aux standards fixés dans la stratégie éducation numérique de l’école obligatoire ordinaire et spécialisée du canton de Fribourg. Les montants sont calculés sur la base de prix moyens pour des équipements standards et une infrastructure conventionelle. Les totaux des coûts annuels et uniques donnent une information estimative et sans garantie à la commune. 
Les coûts uniques sont les coûts d'investissement pour acquérir les équipements et l'infrastructure ou pour les renouveller en moyenne tous les 7 ans. A remarquer que la durée de vie réelle d'un équipement va dépendre de son taux d'utilisation et de sa qualité.
En fonction de la volumétrie, des choix technologiques et de fournisseurs, le montant total réel  pourra être nettement supérieur ou inférieur. Par exemple, le choix technologique d'un tableau blanc interactif sera beaucoup plus onéreux qu'un beamer sans interactivité, les coûts seront aussi différents si un contrat de maintenance est conclu avec une entreprise IT partenaire de la commune ou en fonction du type de gestion de l'infrastructure, etc. </t>
  </si>
  <si>
    <t>MATERIEL INFORMATIQUE DES ÉLÈVES, DU CORPS ENSEIGNANT ET DU PERSONNEL ADMINISTRATIF CANTONAL</t>
  </si>
  <si>
    <t>Nombre de personnes du personnel administratif cantonal</t>
  </si>
  <si>
    <t>Ecrans pour le personnel administratif cantonal (Prix moyen de 370 CHF)</t>
  </si>
  <si>
    <t>Ecrans + Docking pour une salle informatique au cycle d'orientation (15 postes, prix moyen de 370 CHF)</t>
  </si>
  <si>
    <r>
      <rPr>
        <sz val="14"/>
        <color theme="0"/>
        <rFont val="Calibri (Corps)"/>
      </rPr>
      <t>TOTAL</t>
    </r>
    <r>
      <rPr>
        <sz val="11"/>
        <color theme="0"/>
        <rFont val="Calibri"/>
        <family val="2"/>
        <scheme val="minor"/>
      </rPr>
      <t xml:space="preserve">
des équipements informatiques payés par le canton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</si>
</sst>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CHF&quot;_-;\-* #,##0.00\ &quot;CHF&quot;_-;_-* &quot;-&quot;??\ &quot;CHF&quot;_-;_-@_-"/>
    <numFmt numFmtId="43" formatCode="_-* #,##0.00_-;\-* #,##0.00_-;_-* &quot;-&quot;??_-;_-@_-"/>
    <numFmt numFmtId="164" formatCode="_-* #,##0_-;\-* #,##0_-;_-* &quot;-&quot;??_-;_-@_-"/>
    <numFmt numFmtId="165" formatCode="#,##0.00\ &quot;CHF&quot;"/>
    <numFmt numFmtId="166" formatCode="_-* #,##0.00\ [$CHF-100C]_-;\-* #,##0.00\ [$CHF-100C]_-;_-* &quot;-&quot;??\ [$CHF-100C]_-;_-@_-"/>
    <numFmt numFmtId="167" formatCode="_-* #,##0\ [$CHF-100C]_-;\-* #,##0\ [$CHF-100C]_-;_-* &quot;-&quot;??\ [$CHF-100C]_-;_-@_-"/>
    <numFmt numFmtId="168" formatCode="#,##0\ &quot;CHF&quot;"/>
  </numFmts>
  <fonts count="20">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sz val="15"/>
      <color theme="0"/>
      <name val="Calibri (Corps)"/>
    </font>
    <font>
      <sz val="14"/>
      <color theme="0"/>
      <name val="Calibri (Corps)"/>
    </font>
    <font>
      <sz val="9"/>
      <color rgb="FF000000"/>
      <name val="Tahoma"/>
      <family val="2"/>
    </font>
    <font>
      <sz val="14"/>
      <color theme="0"/>
      <name val="Calibri"/>
      <family val="2"/>
      <scheme val="minor"/>
    </font>
    <font>
      <sz val="11"/>
      <color theme="0"/>
      <name val="Calibri (Corps)"/>
    </font>
    <font>
      <b/>
      <sz val="11"/>
      <color theme="0"/>
      <name val="Calibri"/>
      <family val="2"/>
      <scheme val="minor"/>
    </font>
    <font>
      <sz val="11"/>
      <color rgb="FF1FB7C6"/>
      <name val="Calibri (Corps)"/>
    </font>
    <font>
      <b/>
      <sz val="11"/>
      <color theme="3"/>
      <name val="Calibri"/>
      <family val="2"/>
      <scheme val="minor"/>
    </font>
    <font>
      <sz val="18"/>
      <color theme="0"/>
      <name val="Calibri"/>
      <family val="2"/>
      <scheme val="minor"/>
    </font>
    <font>
      <sz val="12"/>
      <color theme="0"/>
      <name val="Calibri (Corps)"/>
    </font>
    <font>
      <sz val="18"/>
      <color theme="0"/>
      <name val="Calibri (Corps)"/>
    </font>
    <font>
      <sz val="10"/>
      <color theme="1"/>
      <name val="Calibri (Corps)"/>
    </font>
  </fonts>
  <fills count="1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8"/>
      </patternFill>
    </fill>
    <fill>
      <patternFill patternType="solid">
        <fgColor theme="8" tint="0.39997558519241921"/>
        <bgColor indexed="65"/>
      </patternFill>
    </fill>
    <fill>
      <patternFill patternType="solid">
        <fgColor rgb="FF363A42"/>
        <bgColor indexed="64"/>
      </patternFill>
    </fill>
    <fill>
      <patternFill patternType="solid">
        <fgColor rgb="FF1FB7C6"/>
        <bgColor indexed="64"/>
      </patternFill>
    </fill>
    <fill>
      <patternFill patternType="solid">
        <fgColor rgb="FFE7E6E6"/>
        <bgColor indexed="64"/>
      </patternFill>
    </fill>
    <fill>
      <patternFill patternType="solid">
        <fgColor rgb="FFE7FAFC"/>
        <bgColor indexed="64"/>
      </patternFill>
    </fill>
    <fill>
      <patternFill patternType="solid">
        <fgColor rgb="FFE1E3E6"/>
        <bgColor indexed="64"/>
      </patternFill>
    </fill>
    <fill>
      <patternFill patternType="solid">
        <fgColor theme="0"/>
        <bgColor indexed="64"/>
      </patternFill>
    </fill>
  </fills>
  <borders count="4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363A42"/>
      </bottom>
      <diagonal/>
    </border>
    <border>
      <left style="thin">
        <color rgb="FF363A42"/>
      </left>
      <right style="thin">
        <color rgb="FF363A42"/>
      </right>
      <top style="thin">
        <color rgb="FF363A42"/>
      </top>
      <bottom style="thin">
        <color rgb="FF363A42"/>
      </bottom>
      <diagonal/>
    </border>
    <border>
      <left style="thin">
        <color rgb="FF363A42"/>
      </left>
      <right style="thin">
        <color rgb="FF363A42"/>
      </right>
      <top style="thin">
        <color rgb="FF363A42"/>
      </top>
      <bottom/>
      <diagonal/>
    </border>
    <border>
      <left style="thin">
        <color rgb="FF363A42"/>
      </left>
      <right style="thin">
        <color rgb="FF363A42"/>
      </right>
      <top/>
      <bottom style="thin">
        <color rgb="FF363A42"/>
      </bottom>
      <diagonal/>
    </border>
    <border>
      <left/>
      <right style="thin">
        <color rgb="FFFFFF00"/>
      </right>
      <top/>
      <bottom/>
      <diagonal/>
    </border>
    <border>
      <left style="thin">
        <color rgb="FF363A42"/>
      </left>
      <right style="thin">
        <color rgb="FF363A42"/>
      </right>
      <top/>
      <bottom/>
      <diagonal/>
    </border>
    <border>
      <left style="thin">
        <color rgb="FF363A42"/>
      </left>
      <right style="thin">
        <color rgb="FF363A42"/>
      </right>
      <top style="thin">
        <color rgb="FF363A42"/>
      </top>
      <bottom style="thin">
        <color indexed="64"/>
      </bottom>
      <diagonal/>
    </border>
    <border>
      <left style="thin">
        <color rgb="FF363A42"/>
      </left>
      <right style="thin">
        <color rgb="FF363A42"/>
      </right>
      <top style="thin">
        <color indexed="64"/>
      </top>
      <bottom style="thin">
        <color indexed="64"/>
      </bottom>
      <diagonal/>
    </border>
    <border>
      <left/>
      <right style="thin">
        <color rgb="FF363A42"/>
      </right>
      <top/>
      <bottom/>
      <diagonal/>
    </border>
    <border>
      <left style="thin">
        <color indexed="64"/>
      </left>
      <right style="thin">
        <color rgb="FF363A42"/>
      </right>
      <top style="thin">
        <color indexed="64"/>
      </top>
      <bottom style="thin">
        <color indexed="64"/>
      </bottom>
      <diagonal/>
    </border>
    <border>
      <left style="thin">
        <color rgb="FF363A42"/>
      </left>
      <right/>
      <top/>
      <bottom style="thin">
        <color rgb="FF363A42"/>
      </bottom>
      <diagonal/>
    </border>
    <border>
      <left/>
      <right style="thin">
        <color rgb="FF363A42"/>
      </right>
      <top/>
      <bottom style="thin">
        <color rgb="FF363A42"/>
      </bottom>
      <diagonal/>
    </border>
    <border>
      <left/>
      <right style="thin">
        <color rgb="FF363A42"/>
      </right>
      <top style="thin">
        <color rgb="FF363A42"/>
      </top>
      <bottom style="thin">
        <color rgb="FF363A42"/>
      </bottom>
      <diagonal/>
    </border>
    <border>
      <left style="thin">
        <color rgb="FF363A42"/>
      </left>
      <right style="thin">
        <color rgb="FF363A42"/>
      </right>
      <top style="thin">
        <color indexed="64"/>
      </top>
      <bottom/>
      <diagonal/>
    </border>
    <border>
      <left/>
      <right/>
      <top style="thin">
        <color indexed="64"/>
      </top>
      <bottom/>
      <diagonal/>
    </border>
    <border>
      <left style="thin">
        <color indexed="64"/>
      </left>
      <right style="thin">
        <color rgb="FF363A42"/>
      </right>
      <top style="thin">
        <color indexed="64"/>
      </top>
      <bottom/>
      <diagonal/>
    </border>
    <border>
      <left style="thin">
        <color rgb="FF363A42"/>
      </left>
      <right/>
      <top style="thin">
        <color rgb="FF363A42"/>
      </top>
      <bottom style="thin">
        <color indexed="64"/>
      </bottom>
      <diagonal/>
    </border>
    <border>
      <left/>
      <right/>
      <top style="thin">
        <color rgb="FF363A42"/>
      </top>
      <bottom style="thin">
        <color indexed="64"/>
      </bottom>
      <diagonal/>
    </border>
    <border>
      <left/>
      <right style="thin">
        <color rgb="FF363A42"/>
      </right>
      <top style="thin">
        <color rgb="FF363A42"/>
      </top>
      <bottom style="thin">
        <color indexed="64"/>
      </bottom>
      <diagonal/>
    </border>
    <border>
      <left style="thin">
        <color rgb="FF363A42"/>
      </left>
      <right/>
      <top style="thin">
        <color rgb="FF363A42"/>
      </top>
      <bottom/>
      <diagonal/>
    </border>
    <border>
      <left/>
      <right/>
      <top style="thin">
        <color rgb="FF363A42"/>
      </top>
      <bottom/>
      <diagonal/>
    </border>
    <border>
      <left/>
      <right style="thin">
        <color rgb="FF363A42"/>
      </right>
      <top style="thin">
        <color rgb="FF363A42"/>
      </top>
      <bottom/>
      <diagonal/>
    </border>
    <border>
      <left/>
      <right/>
      <top/>
      <bottom style="medium">
        <color theme="4" tint="0.39997558519241921"/>
      </bottom>
      <diagonal/>
    </border>
    <border>
      <left style="medium">
        <color indexed="64"/>
      </left>
      <right style="medium">
        <color indexed="64"/>
      </right>
      <top/>
      <bottom style="thick">
        <color theme="4"/>
      </bottom>
      <diagonal/>
    </border>
    <border>
      <left style="medium">
        <color indexed="64"/>
      </left>
      <right style="medium">
        <color indexed="64"/>
      </right>
      <top/>
      <bottom style="medium">
        <color theme="4" tint="0.3999755851924192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363A42"/>
      </left>
      <right/>
      <top/>
      <bottom/>
      <diagonal/>
    </border>
    <border>
      <left style="thin">
        <color rgb="FF363A42"/>
      </left>
      <right/>
      <top style="thin">
        <color indexed="64"/>
      </top>
      <bottom/>
      <diagonal/>
    </border>
    <border>
      <left style="thin">
        <color rgb="FF363A42"/>
      </left>
      <right/>
      <top/>
      <bottom style="thin">
        <color indexed="64"/>
      </bottom>
      <diagonal/>
    </border>
    <border>
      <left style="thin">
        <color indexed="64"/>
      </left>
      <right style="thin">
        <color rgb="FF363A42"/>
      </right>
      <top/>
      <bottom/>
      <diagonal/>
    </border>
    <border>
      <left style="thin">
        <color rgb="FF363A42"/>
      </left>
      <right style="thin">
        <color indexed="64"/>
      </right>
      <top/>
      <bottom/>
      <diagonal/>
    </border>
    <border>
      <left/>
      <right style="thin">
        <color indexed="64"/>
      </right>
      <top/>
      <bottom/>
      <diagonal/>
    </border>
    <border>
      <left style="thin">
        <color indexed="64"/>
      </left>
      <right style="thin">
        <color rgb="FF363A42"/>
      </right>
      <top/>
      <bottom style="thin">
        <color indexed="64"/>
      </bottom>
      <diagonal/>
    </border>
    <border>
      <left/>
      <right style="thin">
        <color indexed="64"/>
      </right>
      <top/>
      <bottom style="thin">
        <color indexed="64"/>
      </bottom>
      <diagonal/>
    </border>
    <border>
      <left style="thin">
        <color rgb="FF363A42"/>
      </left>
      <right style="thin">
        <color indexed="64"/>
      </right>
      <top/>
      <bottom style="thin">
        <color indexed="64"/>
      </bottom>
      <diagonal/>
    </border>
    <border>
      <left/>
      <right style="thin">
        <color indexed="64"/>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style="thin">
        <color rgb="FF363A42"/>
      </right>
      <top style="thin">
        <color theme="1"/>
      </top>
      <bottom style="thin">
        <color theme="1"/>
      </bottom>
      <diagonal/>
    </border>
    <border>
      <left style="thin">
        <color rgb="FF363A42"/>
      </left>
      <right style="thin">
        <color theme="1"/>
      </right>
      <top style="thin">
        <color theme="1"/>
      </top>
      <bottom style="thin">
        <color theme="1"/>
      </bottom>
      <diagonal/>
    </border>
    <border>
      <left style="thin">
        <color theme="1"/>
      </left>
      <right/>
      <top/>
      <bottom/>
      <diagonal/>
    </border>
    <border>
      <left style="thin">
        <color rgb="FF363A42"/>
      </left>
      <right style="thin">
        <color theme="1"/>
      </right>
      <top style="thin">
        <color rgb="FF363A42"/>
      </top>
      <bottom/>
      <diagonal/>
    </border>
    <border>
      <left style="thin">
        <color rgb="FF363A42"/>
      </left>
      <right style="thin">
        <color theme="1"/>
      </right>
      <top/>
      <bottom/>
      <diagonal/>
    </border>
    <border>
      <left/>
      <right style="thin">
        <color theme="1"/>
      </right>
      <top style="thin">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6" fillId="0" borderId="0" applyNumberFormat="0" applyFill="0" applyBorder="0" applyAlignment="0" applyProtection="0"/>
    <xf numFmtId="0" fontId="7" fillId="6" borderId="0" applyNumberFormat="0" applyBorder="0" applyAlignment="0" applyProtection="0"/>
    <xf numFmtId="0" fontId="1" fillId="7" borderId="0" applyNumberFormat="0" applyBorder="0" applyAlignment="0" applyProtection="0"/>
    <xf numFmtId="0" fontId="15" fillId="0" borderId="26" applyNumberFormat="0" applyFill="0" applyAlignment="0" applyProtection="0"/>
  </cellStyleXfs>
  <cellXfs count="188">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0" xfId="0" applyAlignment="1">
      <alignment horizontal="left"/>
    </xf>
    <xf numFmtId="0" fontId="0" fillId="2" borderId="0" xfId="0" applyFill="1"/>
    <xf numFmtId="0" fontId="0" fillId="3" borderId="0" xfId="0" applyFill="1"/>
    <xf numFmtId="0" fontId="4" fillId="4" borderId="0" xfId="0" applyFont="1" applyFill="1"/>
    <xf numFmtId="0" fontId="0" fillId="4" borderId="0" xfId="0" applyFill="1"/>
    <xf numFmtId="0" fontId="0" fillId="4" borderId="0" xfId="0" applyFill="1" applyAlignment="1">
      <alignment horizontal="left"/>
    </xf>
    <xf numFmtId="0" fontId="0" fillId="0" borderId="0" xfId="0" applyAlignment="1">
      <alignment wrapText="1"/>
    </xf>
    <xf numFmtId="164" fontId="0" fillId="0" borderId="0" xfId="1" applyNumberFormat="1" applyFont="1" applyAlignment="1">
      <alignment horizontal="right"/>
    </xf>
    <xf numFmtId="164" fontId="0" fillId="0" borderId="0" xfId="1" applyNumberFormat="1" applyFont="1" applyFill="1"/>
    <xf numFmtId="164" fontId="0" fillId="0" borderId="0" xfId="1" applyNumberFormat="1" applyFont="1" applyAlignment="1">
      <alignment horizontal="right" wrapText="1"/>
    </xf>
    <xf numFmtId="164" fontId="0" fillId="4" borderId="0" xfId="1" applyNumberFormat="1" applyFont="1" applyFill="1" applyAlignment="1">
      <alignment horizontal="right"/>
    </xf>
    <xf numFmtId="164" fontId="0" fillId="0" borderId="0" xfId="1" quotePrefix="1" applyNumberFormat="1" applyFont="1" applyAlignment="1">
      <alignment horizontal="right"/>
    </xf>
    <xf numFmtId="44" fontId="0" fillId="0" borderId="0" xfId="0" applyNumberFormat="1" applyAlignment="1">
      <alignment horizontal="left"/>
    </xf>
    <xf numFmtId="164" fontId="0" fillId="0" borderId="0" xfId="1" applyNumberFormat="1" applyFont="1"/>
    <xf numFmtId="164" fontId="0" fillId="4" borderId="0" xfId="1" applyNumberFormat="1" applyFont="1" applyFill="1" applyAlignment="1">
      <alignment horizontal="right" wrapText="1"/>
    </xf>
    <xf numFmtId="164" fontId="0" fillId="0" borderId="0" xfId="1" applyNumberFormat="1" applyFont="1" applyFill="1" applyAlignment="1">
      <alignment horizontal="right"/>
    </xf>
    <xf numFmtId="0" fontId="4" fillId="0" borderId="0" xfId="0" applyFont="1"/>
    <xf numFmtId="164" fontId="4" fillId="0" borderId="0" xfId="1" applyNumberFormat="1" applyFont="1" applyAlignment="1">
      <alignment horizontal="right"/>
    </xf>
    <xf numFmtId="0" fontId="0" fillId="0" borderId="0" xfId="0" applyAlignment="1">
      <alignment horizontal="right"/>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0" fillId="5" borderId="0" xfId="0" applyFill="1"/>
    <xf numFmtId="165" fontId="0" fillId="2" borderId="0" xfId="0" applyNumberFormat="1" applyFill="1"/>
    <xf numFmtId="166" fontId="0" fillId="2" borderId="0" xfId="0" applyNumberFormat="1" applyFill="1"/>
    <xf numFmtId="0" fontId="0" fillId="0" borderId="0" xfId="0" applyAlignment="1">
      <alignment horizontal="center"/>
    </xf>
    <xf numFmtId="166" fontId="0" fillId="3" borderId="0" xfId="0" applyNumberFormat="1" applyFill="1"/>
    <xf numFmtId="164" fontId="3" fillId="0" borderId="0" xfId="1" applyNumberFormat="1" applyFont="1" applyAlignment="1">
      <alignment horizontal="right"/>
    </xf>
    <xf numFmtId="166" fontId="0" fillId="2" borderId="0" xfId="2" applyNumberFormat="1" applyFont="1" applyFill="1"/>
    <xf numFmtId="166" fontId="0" fillId="3" borderId="0" xfId="2" applyNumberFormat="1" applyFont="1" applyFill="1"/>
    <xf numFmtId="44" fontId="0" fillId="2" borderId="0" xfId="2" applyFont="1" applyFill="1" applyAlignment="1">
      <alignment horizontal="right"/>
    </xf>
    <xf numFmtId="44" fontId="0" fillId="3" borderId="0" xfId="2" applyFont="1" applyFill="1" applyAlignment="1">
      <alignment horizontal="right"/>
    </xf>
    <xf numFmtId="44" fontId="3" fillId="3" borderId="0" xfId="2" applyFont="1" applyFill="1" applyAlignment="1">
      <alignment horizontal="right"/>
    </xf>
    <xf numFmtId="44" fontId="0" fillId="2" borderId="0" xfId="2" quotePrefix="1" applyFont="1" applyFill="1" applyAlignment="1">
      <alignment horizontal="right"/>
    </xf>
    <xf numFmtId="0" fontId="4" fillId="2" borderId="0" xfId="0" applyFont="1" applyFill="1"/>
    <xf numFmtId="0" fontId="4" fillId="3" borderId="0" xfId="0" applyFont="1" applyFill="1"/>
    <xf numFmtId="0" fontId="0" fillId="5" borderId="0" xfId="0" applyFill="1" applyAlignment="1">
      <alignment horizontal="center"/>
    </xf>
    <xf numFmtId="0" fontId="4" fillId="5" borderId="0" xfId="0" applyFont="1" applyFill="1" applyBorder="1" applyAlignment="1">
      <alignment horizontal="right"/>
    </xf>
    <xf numFmtId="0" fontId="5" fillId="0" borderId="0" xfId="0" applyFont="1" applyAlignment="1" applyProtection="1">
      <alignment horizontal="center"/>
      <protection locked="0"/>
    </xf>
    <xf numFmtId="0" fontId="0" fillId="5" borderId="0" xfId="0" applyFill="1" applyAlignment="1">
      <alignment wrapText="1"/>
    </xf>
    <xf numFmtId="44" fontId="3" fillId="2" borderId="0" xfId="2" quotePrefix="1" applyFont="1" applyFill="1" applyAlignment="1">
      <alignment horizontal="right"/>
    </xf>
    <xf numFmtId="167" fontId="4" fillId="5" borderId="2" xfId="0" applyNumberFormat="1" applyFont="1" applyFill="1" applyBorder="1" applyAlignment="1">
      <alignment horizontal="right"/>
    </xf>
    <xf numFmtId="167" fontId="4" fillId="5" borderId="0" xfId="0" applyNumberFormat="1" applyFont="1" applyFill="1" applyBorder="1" applyAlignment="1">
      <alignment horizontal="right"/>
    </xf>
    <xf numFmtId="167" fontId="0" fillId="5" borderId="0" xfId="0" applyNumberFormat="1" applyFill="1" applyAlignment="1">
      <alignment horizontal="center"/>
    </xf>
    <xf numFmtId="0" fontId="6" fillId="0" borderId="0" xfId="4"/>
    <xf numFmtId="0" fontId="0" fillId="8" borderId="0" xfId="0" applyFill="1" applyAlignment="1">
      <alignment vertical="center"/>
    </xf>
    <xf numFmtId="0" fontId="6" fillId="8" borderId="0" xfId="4" applyFill="1" applyAlignment="1">
      <alignment horizontal="center" vertical="center"/>
    </xf>
    <xf numFmtId="0" fontId="0" fillId="8" borderId="0" xfId="0" applyFill="1" applyAlignment="1">
      <alignment horizontal="center" vertical="center"/>
    </xf>
    <xf numFmtId="0" fontId="0" fillId="0" borderId="0" xfId="0" applyAlignment="1">
      <alignment vertical="center"/>
    </xf>
    <xf numFmtId="0" fontId="8" fillId="8" borderId="0" xfId="3" applyFont="1" applyFill="1" applyBorder="1" applyAlignment="1">
      <alignment vertical="center"/>
    </xf>
    <xf numFmtId="0" fontId="0" fillId="9" borderId="0" xfId="0" applyFill="1"/>
    <xf numFmtId="0" fontId="0" fillId="9" borderId="0" xfId="0" applyFill="1" applyAlignment="1">
      <alignment horizontal="center"/>
    </xf>
    <xf numFmtId="0" fontId="0" fillId="10" borderId="0" xfId="0" applyFill="1" applyAlignment="1">
      <alignment vertical="center"/>
    </xf>
    <xf numFmtId="0" fontId="0" fillId="0" borderId="4" xfId="0" applyBorder="1"/>
    <xf numFmtId="0" fontId="0" fillId="0" borderId="6" xfId="0" applyBorder="1"/>
    <xf numFmtId="0" fontId="0" fillId="0" borderId="7" xfId="0" applyBorder="1"/>
    <xf numFmtId="0" fontId="0" fillId="0" borderId="8" xfId="0" applyBorder="1"/>
    <xf numFmtId="0" fontId="7" fillId="11" borderId="0" xfId="5" applyFill="1" applyBorder="1" applyAlignment="1">
      <alignment horizontal="center"/>
    </xf>
    <xf numFmtId="0" fontId="0" fillId="11" borderId="9" xfId="0" applyFill="1" applyBorder="1" applyAlignment="1">
      <alignment horizontal="left" vertical="top" indent="2"/>
    </xf>
    <xf numFmtId="0" fontId="0" fillId="11" borderId="9" xfId="0" applyFill="1" applyBorder="1" applyAlignment="1">
      <alignment horizontal="left" wrapText="1" indent="2"/>
    </xf>
    <xf numFmtId="0" fontId="0" fillId="11" borderId="9" xfId="0" applyFill="1" applyBorder="1" applyAlignment="1">
      <alignment horizontal="left" indent="2"/>
    </xf>
    <xf numFmtId="0" fontId="0" fillId="11" borderId="9" xfId="0" applyFill="1" applyBorder="1" applyAlignment="1">
      <alignment horizontal="left" vertical="top" wrapText="1" indent="2"/>
    </xf>
    <xf numFmtId="0" fontId="0" fillId="11" borderId="7" xfId="0" applyFill="1" applyBorder="1" applyAlignment="1">
      <alignment horizontal="left" indent="2"/>
    </xf>
    <xf numFmtId="0" fontId="0" fillId="11" borderId="9" xfId="0" applyFill="1" applyBorder="1" applyAlignment="1">
      <alignment horizontal="center"/>
    </xf>
    <xf numFmtId="0" fontId="0" fillId="11" borderId="7" xfId="0" applyFill="1" applyBorder="1" applyAlignment="1">
      <alignment horizontal="center"/>
    </xf>
    <xf numFmtId="0" fontId="0" fillId="12" borderId="0" xfId="0" applyFill="1"/>
    <xf numFmtId="0" fontId="0" fillId="12" borderId="0" xfId="0" applyFill="1" applyAlignment="1">
      <alignment horizontal="right"/>
    </xf>
    <xf numFmtId="0" fontId="4" fillId="12" borderId="0" xfId="0" applyFont="1" applyFill="1" applyAlignment="1">
      <alignment horizontal="right"/>
    </xf>
    <xf numFmtId="0" fontId="0" fillId="12" borderId="0" xfId="0" applyFill="1" applyAlignment="1">
      <alignment horizontal="center"/>
    </xf>
    <xf numFmtId="0" fontId="12" fillId="9" borderId="0" xfId="6" applyFont="1" applyFill="1" applyBorder="1"/>
    <xf numFmtId="0" fontId="12" fillId="9" borderId="9" xfId="6" applyFont="1" applyFill="1" applyBorder="1"/>
    <xf numFmtId="0" fontId="0" fillId="12" borderId="12" xfId="0" applyFill="1" applyBorder="1"/>
    <xf numFmtId="0" fontId="11" fillId="11" borderId="9" xfId="5" applyFont="1" applyFill="1" applyBorder="1" applyAlignment="1">
      <alignment horizontal="center" vertical="center"/>
    </xf>
    <xf numFmtId="0" fontId="7" fillId="9" borderId="9" xfId="6" applyFont="1" applyFill="1" applyBorder="1" applyAlignment="1">
      <alignment wrapText="1"/>
    </xf>
    <xf numFmtId="0" fontId="7" fillId="9" borderId="18" xfId="5" applyFill="1" applyBorder="1" applyAlignment="1">
      <alignment horizontal="center"/>
    </xf>
    <xf numFmtId="0" fontId="5" fillId="0" borderId="0" xfId="0" applyFont="1" applyBorder="1" applyAlignment="1" applyProtection="1">
      <alignment horizontal="center"/>
      <protection locked="0"/>
    </xf>
    <xf numFmtId="0" fontId="0" fillId="11" borderId="0" xfId="0" applyFill="1" applyBorder="1" applyAlignment="1">
      <alignment horizontal="center"/>
    </xf>
    <xf numFmtId="0" fontId="0" fillId="11" borderId="4" xfId="0" applyFill="1" applyBorder="1" applyAlignment="1">
      <alignment horizontal="center"/>
    </xf>
    <xf numFmtId="167" fontId="4" fillId="12" borderId="4" xfId="0" applyNumberFormat="1" applyFont="1" applyFill="1" applyBorder="1"/>
    <xf numFmtId="167" fontId="4" fillId="12" borderId="15" xfId="0" applyNumberFormat="1" applyFont="1" applyFill="1" applyBorder="1"/>
    <xf numFmtId="167" fontId="4" fillId="12" borderId="5" xfId="0" applyNumberFormat="1" applyFont="1" applyFill="1" applyBorder="1"/>
    <xf numFmtId="0" fontId="4" fillId="11" borderId="7" xfId="5" applyFont="1" applyFill="1" applyBorder="1" applyAlignment="1">
      <alignment horizontal="center"/>
    </xf>
    <xf numFmtId="0" fontId="0" fillId="11" borderId="7" xfId="5" applyFont="1" applyFill="1" applyBorder="1" applyAlignment="1">
      <alignment horizontal="center"/>
    </xf>
    <xf numFmtId="0" fontId="4" fillId="11" borderId="15" xfId="5" applyFont="1" applyFill="1" applyBorder="1" applyAlignment="1">
      <alignment horizontal="center"/>
    </xf>
    <xf numFmtId="0" fontId="13" fillId="9" borderId="6" xfId="5" applyFont="1" applyFill="1" applyBorder="1" applyAlignment="1">
      <alignment horizontal="center"/>
    </xf>
    <xf numFmtId="0" fontId="7" fillId="9" borderId="6" xfId="5" applyFont="1" applyFill="1" applyBorder="1" applyAlignment="1">
      <alignment horizontal="center"/>
    </xf>
    <xf numFmtId="0" fontId="13" fillId="9" borderId="25" xfId="5" applyFont="1" applyFill="1" applyBorder="1" applyAlignment="1">
      <alignment horizontal="center"/>
    </xf>
    <xf numFmtId="167" fontId="4" fillId="12" borderId="5" xfId="0" applyNumberFormat="1" applyFont="1" applyFill="1" applyBorder="1" applyAlignment="1">
      <alignment horizontal="right"/>
    </xf>
    <xf numFmtId="167" fontId="4" fillId="12" borderId="16" xfId="0" applyNumberFormat="1" applyFont="1" applyFill="1" applyBorder="1" applyAlignment="1">
      <alignment horizontal="right"/>
    </xf>
    <xf numFmtId="167" fontId="4" fillId="12" borderId="7" xfId="0" applyNumberFormat="1" applyFont="1" applyFill="1" applyBorder="1"/>
    <xf numFmtId="0" fontId="0" fillId="0" borderId="0" xfId="0" applyFill="1" applyAlignment="1">
      <alignment vertical="center"/>
    </xf>
    <xf numFmtId="0" fontId="8" fillId="12" borderId="0" xfId="3" applyFont="1" applyFill="1" applyBorder="1" applyAlignment="1">
      <alignment vertical="center"/>
    </xf>
    <xf numFmtId="0" fontId="0" fillId="12" borderId="0" xfId="0" applyFill="1" applyBorder="1" applyAlignment="1">
      <alignment vertical="center"/>
    </xf>
    <xf numFmtId="0" fontId="6" fillId="12" borderId="0" xfId="4" applyFill="1" applyBorder="1" applyAlignment="1">
      <alignment horizontal="center" vertical="center"/>
    </xf>
    <xf numFmtId="0" fontId="0" fillId="12" borderId="0" xfId="0" applyFill="1" applyBorder="1" applyAlignment="1">
      <alignment horizontal="center" vertical="center"/>
    </xf>
    <xf numFmtId="0" fontId="0" fillId="12" borderId="0" xfId="0" applyFill="1" applyBorder="1"/>
    <xf numFmtId="0" fontId="0" fillId="12" borderId="0" xfId="0" applyFill="1" applyBorder="1" applyAlignment="1">
      <alignment vertical="top"/>
    </xf>
    <xf numFmtId="0" fontId="5" fillId="12" borderId="0" xfId="0" applyFont="1" applyFill="1" applyBorder="1" applyAlignment="1">
      <alignment vertical="top"/>
    </xf>
    <xf numFmtId="0" fontId="0" fillId="12" borderId="0" xfId="0" applyFill="1" applyBorder="1" applyAlignment="1">
      <alignment vertical="top" wrapText="1"/>
    </xf>
    <xf numFmtId="0" fontId="0" fillId="0" borderId="0" xfId="0" applyFill="1" applyBorder="1" applyAlignment="1">
      <alignment vertical="top"/>
    </xf>
    <xf numFmtId="0" fontId="3" fillId="0" borderId="0" xfId="0" applyFont="1" applyFill="1" applyBorder="1" applyAlignment="1">
      <alignment vertical="top"/>
    </xf>
    <xf numFmtId="0" fontId="5" fillId="0" borderId="0" xfId="0" applyFont="1" applyFill="1" applyBorder="1" applyAlignment="1">
      <alignment vertical="top"/>
    </xf>
    <xf numFmtId="0" fontId="11" fillId="12" borderId="0" xfId="5" applyFont="1" applyFill="1" applyBorder="1" applyAlignment="1">
      <alignment horizontal="center" vertical="center"/>
    </xf>
    <xf numFmtId="0" fontId="0" fillId="5" borderId="0" xfId="0" applyFill="1" applyAlignment="1">
      <alignment vertical="top"/>
    </xf>
    <xf numFmtId="0" fontId="2" fillId="5" borderId="27" xfId="3" applyFill="1" applyBorder="1" applyAlignment="1">
      <alignment wrapText="1"/>
    </xf>
    <xf numFmtId="0" fontId="15" fillId="5" borderId="28" xfId="7" applyFill="1" applyBorder="1" applyAlignment="1">
      <alignment wrapText="1"/>
    </xf>
    <xf numFmtId="0" fontId="0" fillId="5" borderId="29" xfId="0" applyFill="1" applyBorder="1" applyAlignment="1">
      <alignment vertical="top" wrapText="1"/>
    </xf>
    <xf numFmtId="0" fontId="0" fillId="5" borderId="29" xfId="0" applyFill="1" applyBorder="1" applyAlignment="1">
      <alignment wrapText="1"/>
    </xf>
    <xf numFmtId="0" fontId="0" fillId="5" borderId="30" xfId="0" applyFill="1" applyBorder="1" applyAlignment="1">
      <alignment wrapText="1"/>
    </xf>
    <xf numFmtId="0" fontId="0" fillId="0" borderId="0" xfId="0" applyFill="1"/>
    <xf numFmtId="0" fontId="7" fillId="9" borderId="3" xfId="5" applyFill="1" applyBorder="1" applyAlignment="1">
      <alignment vertical="center" wrapText="1"/>
    </xf>
    <xf numFmtId="0" fontId="0" fillId="11" borderId="34" xfId="0" applyFill="1" applyBorder="1" applyAlignment="1">
      <alignment horizontal="left" vertical="top" indent="2"/>
    </xf>
    <xf numFmtId="0" fontId="0" fillId="11" borderId="34" xfId="0" applyFill="1" applyBorder="1" applyAlignment="1">
      <alignment horizontal="left" wrapText="1" indent="2"/>
    </xf>
    <xf numFmtId="0" fontId="0" fillId="11" borderId="37" xfId="0" applyFill="1" applyBorder="1" applyAlignment="1">
      <alignment horizontal="left" wrapText="1" indent="2"/>
    </xf>
    <xf numFmtId="0" fontId="0" fillId="11" borderId="34" xfId="0" applyFill="1" applyBorder="1" applyAlignment="1">
      <alignment horizontal="left" vertical="top" wrapText="1" indent="2"/>
    </xf>
    <xf numFmtId="168" fontId="0" fillId="11" borderId="35" xfId="0" applyNumberFormat="1" applyFill="1" applyBorder="1" applyAlignment="1">
      <alignment horizontal="center"/>
    </xf>
    <xf numFmtId="168" fontId="0" fillId="11" borderId="39" xfId="0" applyNumberFormat="1" applyFill="1" applyBorder="1" applyAlignment="1">
      <alignment horizontal="center"/>
    </xf>
    <xf numFmtId="0" fontId="0" fillId="12" borderId="0" xfId="0" applyFill="1" applyAlignment="1">
      <alignment vertical="top"/>
    </xf>
    <xf numFmtId="0" fontId="4" fillId="13" borderId="0" xfId="0" applyFont="1" applyFill="1" applyAlignment="1">
      <alignment horizontal="center"/>
    </xf>
    <xf numFmtId="0" fontId="0" fillId="12" borderId="41" xfId="0" applyFill="1" applyBorder="1"/>
    <xf numFmtId="0" fontId="0" fillId="12" borderId="41" xfId="0" applyFill="1" applyBorder="1" applyAlignment="1">
      <alignment horizontal="right"/>
    </xf>
    <xf numFmtId="0" fontId="0" fillId="12" borderId="42" xfId="0" applyFill="1" applyBorder="1"/>
    <xf numFmtId="0" fontId="11" fillId="11" borderId="36" xfId="5" applyFont="1" applyFill="1" applyBorder="1" applyAlignment="1">
      <alignment horizontal="center" vertical="center"/>
    </xf>
    <xf numFmtId="0" fontId="7" fillId="9" borderId="40" xfId="5" applyFill="1" applyBorder="1" applyAlignment="1">
      <alignment vertical="center" wrapText="1"/>
    </xf>
    <xf numFmtId="0" fontId="12" fillId="9" borderId="34" xfId="6" applyFont="1" applyFill="1" applyBorder="1" applyAlignment="1">
      <alignment wrapText="1"/>
    </xf>
    <xf numFmtId="0" fontId="11" fillId="11" borderId="43" xfId="5" applyFont="1" applyFill="1" applyBorder="1" applyAlignment="1">
      <alignment horizontal="center" vertical="center"/>
    </xf>
    <xf numFmtId="0" fontId="11" fillId="11" borderId="44" xfId="5" applyFont="1" applyFill="1" applyBorder="1" applyAlignment="1">
      <alignment horizontal="center" vertical="center"/>
    </xf>
    <xf numFmtId="0" fontId="0" fillId="12" borderId="45" xfId="0" applyFill="1" applyBorder="1" applyAlignment="1">
      <alignment vertical="top"/>
    </xf>
    <xf numFmtId="0" fontId="0" fillId="12" borderId="45" xfId="0" applyFill="1" applyBorder="1"/>
    <xf numFmtId="0" fontId="0" fillId="12" borderId="41" xfId="0" applyFill="1" applyBorder="1" applyAlignment="1">
      <alignment vertical="top"/>
    </xf>
    <xf numFmtId="0" fontId="7" fillId="9" borderId="46" xfId="5" applyFill="1" applyBorder="1" applyAlignment="1">
      <alignment horizontal="center"/>
    </xf>
    <xf numFmtId="0" fontId="7" fillId="11" borderId="47" xfId="5" applyFill="1" applyBorder="1" applyAlignment="1">
      <alignment horizontal="center"/>
    </xf>
    <xf numFmtId="0" fontId="12" fillId="9" borderId="47" xfId="6" applyFont="1" applyFill="1" applyBorder="1"/>
    <xf numFmtId="0" fontId="0" fillId="11" borderId="47" xfId="0" applyFill="1" applyBorder="1" applyAlignment="1">
      <alignment horizontal="center"/>
    </xf>
    <xf numFmtId="0" fontId="12" fillId="9" borderId="31" xfId="6" applyFont="1" applyFill="1" applyBorder="1"/>
    <xf numFmtId="0" fontId="12" fillId="9" borderId="12" xfId="6" applyFont="1" applyFill="1" applyBorder="1"/>
    <xf numFmtId="0" fontId="0" fillId="10" borderId="0" xfId="0" applyFill="1"/>
    <xf numFmtId="0" fontId="5" fillId="0" borderId="0" xfId="0" applyNumberFormat="1" applyFont="1" applyAlignment="1" applyProtection="1">
      <alignment horizontal="center"/>
      <protection locked="0"/>
    </xf>
    <xf numFmtId="0" fontId="0" fillId="11" borderId="0" xfId="0" applyFill="1" applyBorder="1" applyAlignment="1">
      <alignment horizontal="left" wrapText="1" indent="2"/>
    </xf>
    <xf numFmtId="168" fontId="0" fillId="11" borderId="0" xfId="0" applyNumberFormat="1" applyFill="1" applyBorder="1" applyAlignment="1">
      <alignment horizontal="center"/>
    </xf>
    <xf numFmtId="0" fontId="5" fillId="0" borderId="36" xfId="0" applyFont="1" applyBorder="1" applyAlignment="1" applyProtection="1">
      <alignment horizontal="center"/>
    </xf>
    <xf numFmtId="0" fontId="0" fillId="11" borderId="36" xfId="0" applyFill="1" applyBorder="1" applyAlignment="1" applyProtection="1">
      <alignment horizontal="center"/>
    </xf>
    <xf numFmtId="0" fontId="5" fillId="0" borderId="38" xfId="0" applyFont="1" applyBorder="1" applyAlignment="1" applyProtection="1">
      <alignment horizontal="center"/>
    </xf>
    <xf numFmtId="0" fontId="11" fillId="9" borderId="20" xfId="5" applyFont="1" applyFill="1" applyBorder="1" applyAlignment="1">
      <alignment horizontal="center" vertical="center"/>
    </xf>
    <xf numFmtId="0" fontId="11" fillId="9" borderId="21" xfId="5" applyFont="1" applyFill="1" applyBorder="1" applyAlignment="1">
      <alignment horizontal="center" vertical="center"/>
    </xf>
    <xf numFmtId="0" fontId="11" fillId="9" borderId="22" xfId="5" applyFont="1" applyFill="1" applyBorder="1" applyAlignment="1">
      <alignment horizontal="center" vertical="center"/>
    </xf>
    <xf numFmtId="0" fontId="0" fillId="12" borderId="0" xfId="0" applyFill="1" applyBorder="1" applyAlignment="1">
      <alignment horizontal="left" vertical="top" wrapText="1"/>
    </xf>
    <xf numFmtId="0" fontId="0" fillId="12" borderId="0" xfId="0" quotePrefix="1" applyFill="1" applyBorder="1" applyAlignment="1">
      <alignment horizontal="left" vertical="top" wrapText="1"/>
    </xf>
    <xf numFmtId="0" fontId="11" fillId="0" borderId="0" xfId="5" applyFont="1" applyFill="1" applyBorder="1" applyAlignment="1">
      <alignment horizontal="center" vertical="center"/>
    </xf>
    <xf numFmtId="0" fontId="9" fillId="9" borderId="0" xfId="5" applyFont="1" applyFill="1" applyBorder="1" applyAlignment="1">
      <alignment horizontal="center" vertical="center" wrapText="1"/>
    </xf>
    <xf numFmtId="0" fontId="9" fillId="9" borderId="41" xfId="5" applyFont="1" applyFill="1" applyBorder="1" applyAlignment="1">
      <alignment horizontal="center" vertical="center" wrapText="1"/>
    </xf>
    <xf numFmtId="0" fontId="11" fillId="9" borderId="23" xfId="5" applyFont="1" applyFill="1" applyBorder="1" applyAlignment="1">
      <alignment horizontal="center" vertical="center" wrapText="1"/>
    </xf>
    <xf numFmtId="0" fontId="11" fillId="9" borderId="24" xfId="5" applyFont="1" applyFill="1" applyBorder="1" applyAlignment="1">
      <alignment horizontal="center" vertical="center" wrapText="1"/>
    </xf>
    <xf numFmtId="0" fontId="11" fillId="9" borderId="25" xfId="5" applyFont="1" applyFill="1" applyBorder="1" applyAlignment="1">
      <alignment horizontal="center" vertical="center" wrapText="1"/>
    </xf>
    <xf numFmtId="0" fontId="7" fillId="9" borderId="14" xfId="5" applyFont="1" applyFill="1" applyBorder="1" applyAlignment="1">
      <alignment horizontal="center" vertical="center" wrapText="1"/>
    </xf>
    <xf numFmtId="0" fontId="7" fillId="9" borderId="4" xfId="5" applyFont="1" applyFill="1" applyBorder="1" applyAlignment="1">
      <alignment horizontal="center" vertical="center" wrapText="1"/>
    </xf>
    <xf numFmtId="0" fontId="7" fillId="9" borderId="15" xfId="5" applyFont="1" applyFill="1" applyBorder="1" applyAlignment="1">
      <alignment horizontal="center" vertical="center" wrapText="1"/>
    </xf>
    <xf numFmtId="0" fontId="9" fillId="9" borderId="23" xfId="5" applyFont="1" applyFill="1" applyBorder="1" applyAlignment="1">
      <alignment horizontal="center" vertical="center" wrapText="1"/>
    </xf>
    <xf numFmtId="0" fontId="9" fillId="9" borderId="24" xfId="5" applyFont="1" applyFill="1" applyBorder="1" applyAlignment="1">
      <alignment horizontal="center" vertical="center" wrapText="1"/>
    </xf>
    <xf numFmtId="0" fontId="9" fillId="9" borderId="25" xfId="5" applyFont="1" applyFill="1" applyBorder="1" applyAlignment="1">
      <alignment horizontal="center" vertical="center" wrapText="1"/>
    </xf>
    <xf numFmtId="0" fontId="3" fillId="10" borderId="0" xfId="0" applyFont="1" applyFill="1" applyAlignment="1">
      <alignment horizontal="center" vertical="center" textRotation="46" wrapText="1"/>
    </xf>
    <xf numFmtId="0" fontId="7" fillId="9" borderId="14" xfId="5" applyFill="1" applyBorder="1" applyAlignment="1">
      <alignment horizontal="center" vertical="center"/>
    </xf>
    <xf numFmtId="0" fontId="7" fillId="9" borderId="4" xfId="5" applyFill="1" applyBorder="1" applyAlignment="1">
      <alignment horizontal="center" vertical="center"/>
    </xf>
    <xf numFmtId="0" fontId="7" fillId="9" borderId="15" xfId="5" applyFill="1" applyBorder="1" applyAlignment="1">
      <alignment horizontal="center" vertical="center"/>
    </xf>
    <xf numFmtId="0" fontId="4" fillId="5" borderId="2" xfId="0" applyFont="1" applyFill="1" applyBorder="1" applyAlignment="1">
      <alignment horizontal="right"/>
    </xf>
    <xf numFmtId="0" fontId="5" fillId="0" borderId="0" xfId="0" applyFont="1" applyFill="1" applyAlignment="1" applyProtection="1">
      <alignment horizontal="center" vertical="top" wrapText="1"/>
      <protection locked="0"/>
    </xf>
    <xf numFmtId="0" fontId="3" fillId="0" borderId="0" xfId="0" applyFont="1" applyAlignment="1">
      <alignment horizontal="center" vertical="center" textRotation="46" wrapText="1"/>
    </xf>
    <xf numFmtId="0" fontId="7" fillId="9" borderId="32" xfId="5" applyFill="1" applyBorder="1" applyAlignment="1">
      <alignment horizontal="center" vertical="center" wrapText="1"/>
    </xf>
    <xf numFmtId="0" fontId="7" fillId="9" borderId="48" xfId="5" applyFill="1" applyBorder="1" applyAlignment="1">
      <alignment horizontal="center" vertical="center" wrapText="1"/>
    </xf>
    <xf numFmtId="0" fontId="7" fillId="9" borderId="31" xfId="5" applyFill="1" applyBorder="1" applyAlignment="1">
      <alignment horizontal="center" vertical="center" wrapText="1"/>
    </xf>
    <xf numFmtId="0" fontId="7" fillId="9" borderId="41" xfId="5" applyFill="1" applyBorder="1" applyAlignment="1">
      <alignment horizontal="center" vertical="center" wrapText="1"/>
    </xf>
    <xf numFmtId="0" fontId="11" fillId="9" borderId="10" xfId="5" applyFont="1" applyFill="1" applyBorder="1" applyAlignment="1">
      <alignment horizontal="center" vertical="center"/>
    </xf>
    <xf numFmtId="0" fontId="11" fillId="9" borderId="11" xfId="5" applyFont="1" applyFill="1" applyBorder="1" applyAlignment="1">
      <alignment horizontal="center" vertical="center"/>
    </xf>
    <xf numFmtId="0" fontId="11" fillId="9" borderId="17" xfId="5" applyFont="1" applyFill="1" applyBorder="1" applyAlignment="1">
      <alignment horizontal="center" vertical="center"/>
    </xf>
    <xf numFmtId="0" fontId="16" fillId="8" borderId="0" xfId="3" applyFont="1" applyFill="1" applyBorder="1" applyAlignment="1">
      <alignment horizontal="center" vertical="center" wrapText="1"/>
    </xf>
    <xf numFmtId="0" fontId="11" fillId="9" borderId="13" xfId="5" applyFont="1" applyFill="1" applyBorder="1" applyAlignment="1">
      <alignment horizontal="center" vertical="center"/>
    </xf>
    <xf numFmtId="0" fontId="11" fillId="9" borderId="19" xfId="5" applyFont="1" applyFill="1" applyBorder="1" applyAlignment="1">
      <alignment horizontal="center" vertical="center"/>
    </xf>
    <xf numFmtId="0" fontId="18" fillId="8" borderId="0" xfId="3" applyFont="1" applyFill="1" applyBorder="1" applyAlignment="1">
      <alignment horizontal="center" vertical="center" wrapText="1"/>
    </xf>
    <xf numFmtId="0" fontId="11" fillId="8" borderId="0" xfId="3" applyFont="1" applyFill="1" applyBorder="1" applyAlignment="1">
      <alignment horizontal="center" vertical="center" wrapText="1"/>
    </xf>
    <xf numFmtId="0" fontId="11" fillId="8" borderId="41" xfId="3" applyFont="1" applyFill="1" applyBorder="1" applyAlignment="1">
      <alignment horizontal="center" vertical="center" wrapText="1"/>
    </xf>
    <xf numFmtId="0" fontId="7" fillId="9" borderId="40" xfId="5" applyFill="1" applyBorder="1" applyAlignment="1">
      <alignment horizontal="center" vertical="center" wrapText="1"/>
    </xf>
    <xf numFmtId="0" fontId="7" fillId="9" borderId="33" xfId="5" applyFill="1" applyBorder="1" applyAlignment="1">
      <alignment horizontal="center" vertical="center" wrapText="1"/>
    </xf>
    <xf numFmtId="0" fontId="7" fillId="9" borderId="38" xfId="5" applyFill="1" applyBorder="1" applyAlignment="1">
      <alignment horizontal="center" vertical="center" wrapText="1"/>
    </xf>
    <xf numFmtId="0" fontId="17" fillId="8" borderId="0" xfId="3" applyFont="1" applyFill="1" applyBorder="1" applyAlignment="1">
      <alignment horizontal="center" vertical="top" wrapText="1"/>
    </xf>
    <xf numFmtId="0" fontId="16" fillId="8" borderId="0" xfId="3" applyFont="1" applyFill="1" applyBorder="1" applyAlignment="1">
      <alignment horizontal="center" vertical="top" wrapText="1"/>
    </xf>
  </cellXfs>
  <cellStyles count="8">
    <cellStyle name="60 % - Accent5" xfId="6" builtinId="48"/>
    <cellStyle name="Accent5" xfId="5" builtinId="45"/>
    <cellStyle name="Lien hypertexte" xfId="4" builtinId="8"/>
    <cellStyle name="Milliers" xfId="1" builtinId="3"/>
    <cellStyle name="Monétaire" xfId="2" builtinId="4"/>
    <cellStyle name="Normal" xfId="0" builtinId="0"/>
    <cellStyle name="Titre 1" xfId="3" builtinId="16"/>
    <cellStyle name="Titre 3" xfId="7" builtinId="18"/>
  </cellStyles>
  <dxfs count="0"/>
  <tableStyles count="0" defaultTableStyle="TableStyleMedium2" defaultPivotStyle="PivotStyleLight16"/>
  <colors>
    <mruColors>
      <color rgb="FFE7E6E6"/>
      <color rgb="FF1FB7C6"/>
      <color rgb="FF363A42"/>
      <color rgb="FFE1E3E6"/>
      <color rgb="FFE7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alculateur!A1"/></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hyperlink" Target="#Description!A1"/><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xdr:col>
      <xdr:colOff>1725084</xdr:colOff>
      <xdr:row>1</xdr:row>
      <xdr:rowOff>190501</xdr:rowOff>
    </xdr:from>
    <xdr:to>
      <xdr:col>3</xdr:col>
      <xdr:colOff>1799166</xdr:colOff>
      <xdr:row>1</xdr:row>
      <xdr:rowOff>565151</xdr:rowOff>
    </xdr:to>
    <xdr:sp macro="" textlink="">
      <xdr:nvSpPr>
        <xdr:cNvPr id="9" name="Rectangle : coins arrondis 8">
          <a:hlinkClick xmlns:r="http://schemas.openxmlformats.org/officeDocument/2006/relationships" r:id="rId1"/>
          <a:extLst>
            <a:ext uri="{FF2B5EF4-FFF2-40B4-BE49-F238E27FC236}">
              <a16:creationId xmlns:a16="http://schemas.microsoft.com/office/drawing/2014/main" id="{8AD16307-B131-9E47-B8AC-42E7C94EF5B6}"/>
            </a:ext>
          </a:extLst>
        </xdr:cNvPr>
        <xdr:cNvSpPr/>
      </xdr:nvSpPr>
      <xdr:spPr>
        <a:xfrm>
          <a:off x="6614584" y="1026584"/>
          <a:ext cx="1904999" cy="374650"/>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CALCULATEUR</a:t>
          </a:r>
        </a:p>
      </xdr:txBody>
    </xdr:sp>
    <xdr:clientData/>
  </xdr:twoCellAnchor>
  <xdr:twoCellAnchor editAs="oneCell">
    <xdr:from>
      <xdr:col>1</xdr:col>
      <xdr:colOff>12700</xdr:colOff>
      <xdr:row>0</xdr:row>
      <xdr:rowOff>101600</xdr:rowOff>
    </xdr:from>
    <xdr:to>
      <xdr:col>1</xdr:col>
      <xdr:colOff>1358900</xdr:colOff>
      <xdr:row>0</xdr:row>
      <xdr:rowOff>776017</xdr:rowOff>
    </xdr:to>
    <xdr:pic>
      <xdr:nvPicPr>
        <xdr:cNvPr id="10" name="Image 9">
          <a:extLst>
            <a:ext uri="{FF2B5EF4-FFF2-40B4-BE49-F238E27FC236}">
              <a16:creationId xmlns:a16="http://schemas.microsoft.com/office/drawing/2014/main" id="{3E7CDAB4-8419-D041-90B5-0654A3BDB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912812</xdr:colOff>
      <xdr:row>1</xdr:row>
      <xdr:rowOff>177800</xdr:rowOff>
    </xdr:from>
    <xdr:to>
      <xdr:col>4</xdr:col>
      <xdr:colOff>0</xdr:colOff>
      <xdr:row>1</xdr:row>
      <xdr:rowOff>546100</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79089BD6-4C8E-472E-A3A0-1F00B567955A}"/>
            </a:ext>
          </a:extLst>
        </xdr:cNvPr>
        <xdr:cNvSpPr/>
      </xdr:nvSpPr>
      <xdr:spPr>
        <a:xfrm>
          <a:off x="5191125" y="1019175"/>
          <a:ext cx="2293938" cy="36830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DESCRIPTION DE L'OUTIL</a:t>
          </a:r>
        </a:p>
      </xdr:txBody>
    </xdr:sp>
    <xdr:clientData/>
  </xdr:twoCellAnchor>
  <xdr:twoCellAnchor editAs="oneCell">
    <xdr:from>
      <xdr:col>1</xdr:col>
      <xdr:colOff>12700</xdr:colOff>
      <xdr:row>0</xdr:row>
      <xdr:rowOff>101600</xdr:rowOff>
    </xdr:from>
    <xdr:to>
      <xdr:col>1</xdr:col>
      <xdr:colOff>1360724</xdr:colOff>
      <xdr:row>0</xdr:row>
      <xdr:rowOff>774193</xdr:rowOff>
    </xdr:to>
    <xdr:pic>
      <xdr:nvPicPr>
        <xdr:cNvPr id="4" name="Image 3">
          <a:extLst>
            <a:ext uri="{FF2B5EF4-FFF2-40B4-BE49-F238E27FC236}">
              <a16:creationId xmlns:a16="http://schemas.microsoft.com/office/drawing/2014/main" id="{7ED62D3A-9D93-3F47-B320-F8D1FEE0D3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9374" y="101600"/>
          <a:ext cx="1346200" cy="668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52754</xdr:colOff>
          <xdr:row>92</xdr:row>
          <xdr:rowOff>25446</xdr:rowOff>
        </xdr:from>
        <xdr:to>
          <xdr:col>6</xdr:col>
          <xdr:colOff>743392</xdr:colOff>
          <xdr:row>103</xdr:row>
          <xdr:rowOff>140512</xdr:rowOff>
        </xdr:to>
        <xdr:pic>
          <xdr:nvPicPr>
            <xdr:cNvPr id="5" name="Image 4">
              <a:extLst>
                <a:ext uri="{FF2B5EF4-FFF2-40B4-BE49-F238E27FC236}">
                  <a16:creationId xmlns:a16="http://schemas.microsoft.com/office/drawing/2014/main" id="{6D7722E1-4823-BC42-A819-FE98E2F8CD99}"/>
                </a:ext>
              </a:extLst>
            </xdr:cNvPr>
            <xdr:cNvPicPr>
              <a:picLocks noChangeAspect="1" noChangeArrowheads="1"/>
              <a:extLst>
                <a:ext uri="{84589F7E-364E-4C9E-8A38-B11213B215E9}">
                  <a14:cameraTool cellRange="$AN$58:$AU$68" spid="_x0000_s3009"/>
                </a:ext>
              </a:extLst>
            </xdr:cNvPicPr>
          </xdr:nvPicPr>
          <xdr:blipFill>
            <a:blip xmlns:r="http://schemas.openxmlformats.org/officeDocument/2006/relationships" r:embed="rId3"/>
            <a:srcRect/>
            <a:stretch>
              <a:fillRect/>
            </a:stretch>
          </xdr:blipFill>
          <xdr:spPr bwMode="auto">
            <a:xfrm>
              <a:off x="52754" y="22134029"/>
              <a:ext cx="9175750" cy="2211917"/>
            </a:xfrm>
            <a:prstGeom prst="rect">
              <a:avLst/>
            </a:prstGeom>
            <a:noFill/>
            <a:ln w="9525">
              <a:noFill/>
              <a:miter lim="800000"/>
              <a:headEnd/>
              <a:tailEnd/>
            </a:ln>
            <a:effectLst>
              <a:outerShdw blurRad="190500" sx="102000" sy="102000" algn="ctr" rotWithShape="0">
                <a:prstClr val="black">
                  <a:alpha val="10000"/>
                </a:prstClr>
              </a:outerShdw>
            </a:effec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59267</xdr:colOff>
          <xdr:row>88</xdr:row>
          <xdr:rowOff>1483784</xdr:rowOff>
        </xdr:from>
        <xdr:to>
          <xdr:col>6</xdr:col>
          <xdr:colOff>752183</xdr:colOff>
          <xdr:row>88</xdr:row>
          <xdr:rowOff>2505992</xdr:rowOff>
        </xdr:to>
        <xdr:pic>
          <xdr:nvPicPr>
            <xdr:cNvPr id="6" name="Image 5">
              <a:extLst>
                <a:ext uri="{FF2B5EF4-FFF2-40B4-BE49-F238E27FC236}">
                  <a16:creationId xmlns:a16="http://schemas.microsoft.com/office/drawing/2014/main" id="{B93F99E3-B33A-5D4B-9363-FD95288741FA}"/>
                </a:ext>
              </a:extLst>
            </xdr:cNvPr>
            <xdr:cNvPicPr>
              <a:picLocks noChangeAspect="1" noChangeArrowheads="1"/>
              <a:extLst>
                <a:ext uri="{84589F7E-364E-4C9E-8A38-B11213B215E9}">
                  <a14:cameraTool cellRange="$AN$74:$AU$78" spid="_x0000_s3010"/>
                </a:ext>
              </a:extLst>
            </xdr:cNvPicPr>
          </xdr:nvPicPr>
          <xdr:blipFill>
            <a:blip xmlns:r="http://schemas.openxmlformats.org/officeDocument/2006/relationships" r:embed="rId4"/>
            <a:srcRect/>
            <a:stretch>
              <a:fillRect/>
            </a:stretch>
          </xdr:blipFill>
          <xdr:spPr bwMode="auto">
            <a:xfrm>
              <a:off x="59267" y="22375284"/>
              <a:ext cx="8470900" cy="1018116"/>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0</xdr:col>
      <xdr:colOff>57150</xdr:colOff>
      <xdr:row>88</xdr:row>
      <xdr:rowOff>1492250</xdr:rowOff>
    </xdr:from>
    <xdr:to>
      <xdr:col>6</xdr:col>
      <xdr:colOff>754299</xdr:colOff>
      <xdr:row>88</xdr:row>
      <xdr:rowOff>2506899</xdr:rowOff>
    </xdr:to>
    <xdr:sp macro="" textlink="">
      <xdr:nvSpPr>
        <xdr:cNvPr id="2831" name="AutoShape 783">
          <a:extLst>
            <a:ext uri="{FF2B5EF4-FFF2-40B4-BE49-F238E27FC236}">
              <a16:creationId xmlns:a16="http://schemas.microsoft.com/office/drawing/2014/main" id="{6C98EF1F-05C3-4BD4-BB44-D342F75F5BF2}"/>
            </a:ext>
          </a:extLst>
        </xdr:cNvPr>
        <xdr:cNvSpPr>
          <a:spLocks noChangeAspect="1" noChangeArrowheads="1"/>
        </xdr:cNvSpPr>
      </xdr:nvSpPr>
      <xdr:spPr bwMode="auto">
        <a:xfrm>
          <a:off x="57150" y="22409150"/>
          <a:ext cx="8470900" cy="1016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9D5-DC85-4A5D-AF3C-D9B8CEFE03BA}">
  <sheetPr>
    <pageSetUpPr fitToPage="1"/>
  </sheetPr>
  <dimension ref="A1:I41"/>
  <sheetViews>
    <sheetView showGridLines="0" showRowColHeaders="0" zoomScale="120" zoomScaleNormal="120" workbookViewId="0">
      <pane ySplit="2" topLeftCell="A3" activePane="bottomLeft" state="frozen"/>
      <selection pane="bottomLeft" activeCell="B9" sqref="B9:D9"/>
    </sheetView>
  </sheetViews>
  <sheetFormatPr baseColWidth="10" defaultColWidth="11.3828125" defaultRowHeight="14.6"/>
  <cols>
    <col min="1" max="1" width="7.3828125" customWidth="1"/>
    <col min="2" max="2" width="56.84375" style="24" customWidth="1"/>
    <col min="3" max="4" width="24" style="22" customWidth="1"/>
    <col min="5" max="5" width="10.3828125" style="22" customWidth="1"/>
    <col min="6" max="6" width="11.3828125" style="22" customWidth="1"/>
    <col min="8" max="16384" width="11.3828125" style="22"/>
  </cols>
  <sheetData>
    <row r="1" spans="1:9" s="53" customFormat="1" ht="66" customHeight="1">
      <c r="C1" s="54"/>
      <c r="D1" s="54"/>
    </row>
    <row r="2" spans="1:9" s="48" customFormat="1" ht="57" customHeight="1">
      <c r="B2" s="52" t="s">
        <v>100</v>
      </c>
      <c r="C2" s="49"/>
      <c r="D2" s="50"/>
    </row>
    <row r="3" spans="1:9" s="93" customFormat="1" ht="15" customHeight="1">
      <c r="A3" s="95"/>
      <c r="B3" s="94"/>
      <c r="C3" s="96"/>
      <c r="D3" s="97"/>
      <c r="E3" s="95"/>
    </row>
    <row r="4" spans="1:9" ht="15" customHeight="1">
      <c r="A4" s="98"/>
      <c r="B4" s="146" t="s">
        <v>101</v>
      </c>
      <c r="C4" s="147"/>
      <c r="D4" s="148"/>
      <c r="E4" s="99"/>
      <c r="F4" s="102"/>
      <c r="G4" s="102"/>
      <c r="H4" s="102"/>
      <c r="I4" s="102"/>
    </row>
    <row r="5" spans="1:9" ht="15" customHeight="1">
      <c r="A5" s="98"/>
      <c r="B5" s="105"/>
      <c r="C5" s="105"/>
      <c r="D5" s="105"/>
      <c r="E5" s="99"/>
      <c r="F5" s="102"/>
      <c r="G5" s="102"/>
      <c r="H5" s="102"/>
      <c r="I5" s="102"/>
    </row>
    <row r="6" spans="1:9" ht="214.5" customHeight="1">
      <c r="A6" s="98"/>
      <c r="B6" s="149" t="s">
        <v>163</v>
      </c>
      <c r="C6" s="149"/>
      <c r="D6" s="149"/>
      <c r="E6" s="99"/>
      <c r="F6" s="102"/>
      <c r="G6" s="151"/>
      <c r="H6" s="103"/>
      <c r="I6" s="102"/>
    </row>
    <row r="7" spans="1:9" ht="15" customHeight="1">
      <c r="A7" s="98"/>
      <c r="B7" s="146" t="s">
        <v>102</v>
      </c>
      <c r="C7" s="147"/>
      <c r="D7" s="148"/>
      <c r="E7" s="99"/>
      <c r="F7" s="102"/>
      <c r="G7" s="151"/>
      <c r="H7" s="102"/>
      <c r="I7" s="102"/>
    </row>
    <row r="8" spans="1:9" ht="15" customHeight="1">
      <c r="A8" s="98"/>
      <c r="B8" s="105"/>
      <c r="C8" s="105"/>
      <c r="D8" s="105"/>
      <c r="E8" s="99"/>
      <c r="F8" s="102"/>
      <c r="G8" s="151"/>
      <c r="H8" s="102"/>
      <c r="I8" s="102"/>
    </row>
    <row r="9" spans="1:9" s="23" customFormat="1" ht="216" customHeight="1">
      <c r="A9" s="98"/>
      <c r="B9" s="150" t="s">
        <v>103</v>
      </c>
      <c r="C9" s="150"/>
      <c r="D9" s="150"/>
      <c r="E9" s="100"/>
      <c r="F9" s="104"/>
      <c r="G9" s="151"/>
      <c r="H9" s="104"/>
      <c r="I9" s="104"/>
    </row>
    <row r="10" spans="1:9" ht="15" customHeight="1">
      <c r="A10" s="98"/>
      <c r="B10" s="101"/>
      <c r="C10" s="99"/>
      <c r="D10" s="99"/>
      <c r="E10" s="99"/>
    </row>
    <row r="11" spans="1:9" ht="39" hidden="1" thickBot="1">
      <c r="A11" s="106"/>
      <c r="B11" s="107" t="s">
        <v>104</v>
      </c>
      <c r="C11" s="106"/>
      <c r="G11" s="22"/>
    </row>
    <row r="12" spans="1:9" ht="15.45" hidden="1" thickTop="1" thickBot="1">
      <c r="A12" s="106"/>
      <c r="B12" s="108" t="s">
        <v>0</v>
      </c>
      <c r="C12" s="106"/>
      <c r="G12" s="22"/>
    </row>
    <row r="13" spans="1:9" ht="43.75" hidden="1">
      <c r="A13" s="106"/>
      <c r="B13" s="109" t="s">
        <v>105</v>
      </c>
      <c r="C13" s="106"/>
      <c r="G13" s="22"/>
    </row>
    <row r="14" spans="1:9" hidden="1">
      <c r="A14" s="106"/>
      <c r="B14" s="109" t="s">
        <v>106</v>
      </c>
      <c r="C14" s="106"/>
      <c r="G14" s="22"/>
    </row>
    <row r="15" spans="1:9" ht="43.75" hidden="1">
      <c r="A15" s="106"/>
      <c r="B15" s="110" t="s">
        <v>107</v>
      </c>
      <c r="C15" s="106"/>
      <c r="G15" s="22"/>
    </row>
    <row r="16" spans="1:9" ht="43.75" hidden="1">
      <c r="A16" s="106"/>
      <c r="B16" s="110" t="s">
        <v>108</v>
      </c>
      <c r="C16" s="106"/>
      <c r="G16" s="22"/>
    </row>
    <row r="17" spans="1:7" ht="29.15" hidden="1">
      <c r="A17" s="106"/>
      <c r="B17" s="110" t="s">
        <v>109</v>
      </c>
      <c r="C17" s="106"/>
      <c r="G17" s="22"/>
    </row>
    <row r="18" spans="1:7" hidden="1">
      <c r="A18" s="106"/>
      <c r="B18" s="110" t="s">
        <v>110</v>
      </c>
      <c r="C18" s="106"/>
      <c r="G18" s="22"/>
    </row>
    <row r="19" spans="1:7" hidden="1">
      <c r="A19" s="106"/>
      <c r="B19" s="110" t="s">
        <v>111</v>
      </c>
      <c r="C19" s="106"/>
      <c r="G19" s="22"/>
    </row>
    <row r="20" spans="1:7" ht="43.75" hidden="1">
      <c r="A20" s="106"/>
      <c r="B20" s="110" t="s">
        <v>112</v>
      </c>
      <c r="C20" s="106"/>
      <c r="G20" s="22"/>
    </row>
    <row r="21" spans="1:7" ht="43.75" hidden="1">
      <c r="A21" s="106"/>
      <c r="B21" s="110" t="s">
        <v>113</v>
      </c>
      <c r="C21" s="106"/>
      <c r="G21" s="22"/>
    </row>
    <row r="22" spans="1:7" ht="29.15" hidden="1">
      <c r="A22" s="106"/>
      <c r="B22" s="110" t="s">
        <v>114</v>
      </c>
      <c r="C22" s="106"/>
      <c r="G22" s="22"/>
    </row>
    <row r="23" spans="1:7" hidden="1">
      <c r="A23" s="106"/>
      <c r="B23" s="110"/>
      <c r="C23" s="106"/>
      <c r="G23" s="22"/>
    </row>
    <row r="24" spans="1:7" ht="15" hidden="1" thickBot="1">
      <c r="A24" s="106"/>
      <c r="B24" s="108" t="s">
        <v>115</v>
      </c>
      <c r="C24" s="106"/>
      <c r="G24" s="22"/>
    </row>
    <row r="25" spans="1:7" hidden="1">
      <c r="A25" s="106"/>
      <c r="B25" s="110" t="s">
        <v>116</v>
      </c>
      <c r="C25" s="106"/>
      <c r="G25" s="22"/>
    </row>
    <row r="26" spans="1:7" ht="29.15" hidden="1">
      <c r="A26" s="106"/>
      <c r="B26" s="110" t="s">
        <v>117</v>
      </c>
      <c r="C26" s="106"/>
      <c r="G26" s="22"/>
    </row>
    <row r="27" spans="1:7" ht="29.15" hidden="1">
      <c r="A27" s="106"/>
      <c r="B27" s="110" t="s">
        <v>118</v>
      </c>
      <c r="C27" s="106"/>
      <c r="G27" s="22"/>
    </row>
    <row r="28" spans="1:7" hidden="1">
      <c r="A28" s="106"/>
      <c r="B28" s="110"/>
      <c r="C28" s="106"/>
      <c r="G28" s="22"/>
    </row>
    <row r="29" spans="1:7" ht="15" hidden="1" thickBot="1">
      <c r="A29" s="106"/>
      <c r="B29" s="108" t="s">
        <v>1</v>
      </c>
      <c r="C29" s="106"/>
      <c r="G29" s="22"/>
    </row>
    <row r="30" spans="1:7" ht="58.3" hidden="1">
      <c r="A30" s="106"/>
      <c r="B30" s="109" t="s">
        <v>119</v>
      </c>
      <c r="C30" s="106"/>
      <c r="G30" s="22"/>
    </row>
    <row r="31" spans="1:7" ht="29.15" hidden="1">
      <c r="A31" s="106"/>
      <c r="B31" s="110" t="s">
        <v>120</v>
      </c>
      <c r="C31" s="106"/>
      <c r="G31" s="22"/>
    </row>
    <row r="32" spans="1:7" hidden="1">
      <c r="A32" s="106"/>
      <c r="B32" s="110" t="s">
        <v>121</v>
      </c>
      <c r="C32" s="106"/>
      <c r="G32" s="22"/>
    </row>
    <row r="33" spans="1:7" hidden="1">
      <c r="A33" s="106"/>
      <c r="B33" s="110" t="s">
        <v>122</v>
      </c>
      <c r="C33" s="106"/>
      <c r="G33" s="22"/>
    </row>
    <row r="34" spans="1:7" ht="29.15" hidden="1">
      <c r="A34" s="106"/>
      <c r="B34" s="110" t="s">
        <v>123</v>
      </c>
      <c r="C34" s="106"/>
      <c r="G34" s="22"/>
    </row>
    <row r="35" spans="1:7" ht="29.15" hidden="1">
      <c r="A35" s="106"/>
      <c r="B35" s="110" t="s">
        <v>124</v>
      </c>
      <c r="C35" s="106"/>
      <c r="G35" s="22"/>
    </row>
    <row r="36" spans="1:7" hidden="1">
      <c r="A36" s="106"/>
      <c r="B36" s="110"/>
      <c r="C36" s="106"/>
      <c r="G36" s="22"/>
    </row>
    <row r="37" spans="1:7" ht="15" hidden="1" thickBot="1">
      <c r="A37" s="106"/>
      <c r="B37" s="108" t="s">
        <v>2</v>
      </c>
      <c r="C37" s="106"/>
      <c r="G37" s="22"/>
    </row>
    <row r="38" spans="1:7" ht="43.75" hidden="1">
      <c r="A38" s="106"/>
      <c r="B38" s="110" t="s">
        <v>125</v>
      </c>
      <c r="C38" s="106"/>
      <c r="G38" s="22"/>
    </row>
    <row r="39" spans="1:7" hidden="1">
      <c r="A39" s="106"/>
      <c r="B39" s="110"/>
      <c r="C39" s="106"/>
      <c r="G39" s="22"/>
    </row>
    <row r="40" spans="1:7" ht="29.6" hidden="1" thickBot="1">
      <c r="A40" s="106"/>
      <c r="B40" s="108" t="s">
        <v>126</v>
      </c>
      <c r="C40" s="106"/>
      <c r="G40" s="22"/>
    </row>
    <row r="41" spans="1:7" ht="102.45" hidden="1" thickBot="1">
      <c r="A41" s="106"/>
      <c r="B41" s="111" t="s">
        <v>127</v>
      </c>
      <c r="C41" s="106"/>
      <c r="G41" s="22"/>
    </row>
  </sheetData>
  <sheetProtection selectLockedCells="1" selectUnlockedCells="1"/>
  <mergeCells count="5">
    <mergeCell ref="B4:D4"/>
    <mergeCell ref="B6:D6"/>
    <mergeCell ref="B7:D7"/>
    <mergeCell ref="B9:D9"/>
    <mergeCell ref="G6:G9"/>
  </mergeCells>
  <pageMargins left="0.70866141732283472" right="0.70866141732283472" top="0.74803149606299213" bottom="0.74803149606299213" header="0.31496062992125984" footer="0.31496062992125984"/>
  <pageSetup paperSize="9" scale="71" orientation="portrait" r:id="rId1"/>
  <headerFooter>
    <oddHeader>&amp;C&amp;F</oddHeader>
    <oddFooter>&amp;LVersion 1.0 / Centre de compétences Fritic &amp;C&amp;A&amp;RImprimé le &amp;D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2C1-9FFA-4F37-8A3F-61E821BC932B}">
  <sheetPr>
    <pageSetUpPr fitToPage="1"/>
  </sheetPr>
  <dimension ref="A1:AU156"/>
  <sheetViews>
    <sheetView showGridLines="0" tabSelected="1" zoomScale="150" zoomScaleNormal="150" workbookViewId="0">
      <pane ySplit="2" topLeftCell="A3" activePane="bottomLeft" state="frozen"/>
      <selection pane="bottomLeft" activeCell="C62" sqref="C62"/>
    </sheetView>
  </sheetViews>
  <sheetFormatPr baseColWidth="10" defaultColWidth="11.3828125" defaultRowHeight="14.6"/>
  <cols>
    <col min="1" max="1" width="8.53515625" customWidth="1"/>
    <col min="2" max="2" width="56.84375" customWidth="1"/>
    <col min="3" max="3" width="24" style="28" customWidth="1"/>
    <col min="4" max="4" width="21.84375" style="28" bestFit="1" customWidth="1"/>
    <col min="5" max="5" width="12.84375" hidden="1" customWidth="1"/>
    <col min="6" max="6" width="52.3828125" hidden="1" customWidth="1"/>
    <col min="7" max="7" width="11.3828125" customWidth="1"/>
    <col min="8" max="8" width="4.15234375" customWidth="1"/>
    <col min="9" max="9" width="19.84375" customWidth="1"/>
    <col min="10" max="14" width="13.84375" customWidth="1"/>
    <col min="15" max="16" width="15.3828125" customWidth="1"/>
    <col min="17" max="17" width="11.3828125" customWidth="1"/>
    <col min="40" max="40" width="19.84375" customWidth="1"/>
    <col min="41" max="45" width="13.84375" customWidth="1"/>
    <col min="46" max="47" width="15.3828125" customWidth="1"/>
  </cols>
  <sheetData>
    <row r="1" spans="1:7" s="53" customFormat="1" ht="66" customHeight="1">
      <c r="C1" s="54"/>
      <c r="D1" s="54"/>
    </row>
    <row r="2" spans="1:7" s="48" customFormat="1" ht="57" customHeight="1">
      <c r="B2" s="52" t="s">
        <v>87</v>
      </c>
      <c r="C2" s="49"/>
      <c r="D2" s="50"/>
    </row>
    <row r="3" spans="1:7" ht="18" customHeight="1">
      <c r="A3" s="68"/>
      <c r="B3" s="68"/>
      <c r="C3" s="68"/>
      <c r="D3" s="68"/>
      <c r="E3" s="68"/>
      <c r="F3" s="68"/>
      <c r="G3" s="55"/>
    </row>
    <row r="4" spans="1:7" s="51" customFormat="1" ht="38.15" customHeight="1">
      <c r="A4" s="68"/>
      <c r="B4" s="168" t="s">
        <v>3</v>
      </c>
      <c r="C4" s="168"/>
      <c r="D4" s="168"/>
      <c r="E4" s="55"/>
      <c r="F4" s="55"/>
      <c r="G4" s="68"/>
    </row>
    <row r="5" spans="1:7" s="51" customFormat="1" ht="38.15" customHeight="1">
      <c r="A5" s="68"/>
      <c r="B5" s="68"/>
      <c r="C5" s="68"/>
      <c r="D5" s="68"/>
      <c r="E5" s="68"/>
      <c r="F5" s="68"/>
      <c r="G5" s="68"/>
    </row>
    <row r="6" spans="1:7" s="51" customFormat="1" ht="30" customHeight="1">
      <c r="A6" s="122"/>
      <c r="B6" s="177" t="s">
        <v>150</v>
      </c>
      <c r="C6" s="177"/>
      <c r="D6" s="177"/>
      <c r="E6" s="68"/>
      <c r="F6" s="68"/>
      <c r="G6" s="131"/>
    </row>
    <row r="7" spans="1:7" s="22" customFormat="1" ht="24" customHeight="1">
      <c r="A7" s="132"/>
      <c r="B7" s="186" t="s">
        <v>151</v>
      </c>
      <c r="C7" s="187"/>
      <c r="D7" s="187"/>
      <c r="E7" s="120"/>
      <c r="F7" s="120"/>
      <c r="G7" s="130"/>
    </row>
    <row r="8" spans="1:7" s="51" customFormat="1" ht="30" customHeight="1">
      <c r="A8" s="122"/>
      <c r="B8" s="152" t="s">
        <v>149</v>
      </c>
      <c r="C8" s="152"/>
      <c r="D8" s="152"/>
      <c r="E8" s="68"/>
      <c r="F8" s="68"/>
      <c r="G8" s="131"/>
    </row>
    <row r="9" spans="1:7" s="51" customFormat="1" ht="16" customHeight="1">
      <c r="A9" s="122"/>
      <c r="B9" s="69"/>
      <c r="C9" s="69"/>
      <c r="D9" s="123"/>
      <c r="E9" s="68"/>
      <c r="F9" s="68"/>
      <c r="G9" s="68"/>
    </row>
    <row r="10" spans="1:7" s="51" customFormat="1" ht="20.5" customHeight="1">
      <c r="A10" s="122"/>
      <c r="B10" s="69" t="s">
        <v>130</v>
      </c>
      <c r="C10" s="41">
        <v>0</v>
      </c>
      <c r="D10" s="122"/>
      <c r="E10" s="55"/>
      <c r="F10" s="55"/>
      <c r="G10" s="68"/>
    </row>
    <row r="11" spans="1:7" s="51" customFormat="1" ht="14.5" customHeight="1">
      <c r="A11" s="122"/>
      <c r="B11" s="69" t="s">
        <v>131</v>
      </c>
      <c r="C11" s="41">
        <v>0</v>
      </c>
      <c r="D11" s="123"/>
      <c r="E11" s="55"/>
      <c r="F11" s="55"/>
      <c r="G11" s="68"/>
    </row>
    <row r="12" spans="1:7" s="51" customFormat="1" ht="14.15" customHeight="1">
      <c r="A12" s="122"/>
      <c r="B12" s="69" t="s">
        <v>132</v>
      </c>
      <c r="C12" s="41">
        <v>0</v>
      </c>
      <c r="D12" s="122"/>
      <c r="E12" s="55"/>
      <c r="F12" s="55"/>
      <c r="G12" s="68"/>
    </row>
    <row r="13" spans="1:7" s="51" customFormat="1" ht="15.65" customHeight="1">
      <c r="A13" s="122"/>
      <c r="B13" s="69" t="s">
        <v>133</v>
      </c>
      <c r="C13" s="41">
        <v>0</v>
      </c>
      <c r="D13" s="122"/>
      <c r="E13" s="55"/>
      <c r="F13" s="55"/>
      <c r="G13" s="68"/>
    </row>
    <row r="14" spans="1:7" s="51" customFormat="1" ht="17.25" customHeight="1">
      <c r="A14" s="122"/>
      <c r="B14" s="69" t="s">
        <v>134</v>
      </c>
      <c r="C14" s="140">
        <v>0</v>
      </c>
      <c r="D14" s="122"/>
      <c r="E14" s="55"/>
      <c r="F14" s="55"/>
      <c r="G14" s="68"/>
    </row>
    <row r="15" spans="1:7" s="51" customFormat="1" ht="17.25" customHeight="1">
      <c r="A15" s="122"/>
      <c r="B15" s="69"/>
      <c r="C15" s="69"/>
      <c r="D15" s="122"/>
      <c r="E15" s="55"/>
      <c r="F15" s="55"/>
      <c r="G15" s="68"/>
    </row>
    <row r="16" spans="1:7" s="51" customFormat="1" ht="17.25" customHeight="1">
      <c r="A16" s="122"/>
      <c r="B16" s="69" t="s">
        <v>136</v>
      </c>
      <c r="C16" s="41">
        <v>0</v>
      </c>
      <c r="D16" s="122"/>
      <c r="E16" s="55"/>
      <c r="F16" s="55"/>
      <c r="G16" s="68"/>
    </row>
    <row r="17" spans="1:7" s="51" customFormat="1" ht="17.25" customHeight="1">
      <c r="A17" s="122"/>
      <c r="B17" s="69" t="s">
        <v>165</v>
      </c>
      <c r="C17" s="41">
        <v>0</v>
      </c>
      <c r="D17" s="122"/>
      <c r="E17" s="139"/>
      <c r="F17" s="163"/>
      <c r="G17" s="68"/>
    </row>
    <row r="18" spans="1:7" s="51" customFormat="1" ht="17.25" customHeight="1">
      <c r="A18" s="122"/>
      <c r="B18" s="69"/>
      <c r="C18" s="69"/>
      <c r="D18" s="124"/>
      <c r="E18" s="139"/>
      <c r="F18" s="163"/>
      <c r="G18" s="68"/>
    </row>
    <row r="19" spans="1:7" s="51" customFormat="1" ht="17.25" customHeight="1">
      <c r="A19" s="68"/>
      <c r="B19" s="178" t="s">
        <v>129</v>
      </c>
      <c r="C19" s="170" t="s">
        <v>168</v>
      </c>
      <c r="D19" s="183"/>
      <c r="E19" s="139"/>
      <c r="F19" s="163"/>
      <c r="G19" s="68"/>
    </row>
    <row r="20" spans="1:7" s="51" customFormat="1" ht="51.65" customHeight="1">
      <c r="A20" s="68"/>
      <c r="B20" s="178"/>
      <c r="C20" s="184"/>
      <c r="D20" s="185"/>
      <c r="E20" s="55"/>
      <c r="F20" s="139"/>
      <c r="G20" s="68"/>
    </row>
    <row r="21" spans="1:7" s="51" customFormat="1" ht="17.25" customHeight="1">
      <c r="A21" s="68"/>
      <c r="B21" s="179"/>
      <c r="C21" s="126" t="s">
        <v>135</v>
      </c>
      <c r="D21" s="113" t="s">
        <v>145</v>
      </c>
      <c r="E21" s="37" t="s">
        <v>9</v>
      </c>
      <c r="F21" s="139"/>
      <c r="G21" s="68"/>
    </row>
    <row r="22" spans="1:7" s="51" customFormat="1" ht="7" customHeight="1">
      <c r="A22" s="68"/>
      <c r="B22" s="128"/>
      <c r="C22" s="129"/>
      <c r="D22" s="125"/>
      <c r="E22" s="38"/>
      <c r="F22" s="139"/>
      <c r="G22" s="68"/>
    </row>
    <row r="23" spans="1:7" s="51" customFormat="1" ht="45.45" customHeight="1">
      <c r="A23" s="68"/>
      <c r="B23" s="127" t="s">
        <v>164</v>
      </c>
      <c r="C23" s="73"/>
      <c r="D23" s="73"/>
      <c r="E23" s="25"/>
      <c r="F23" s="139"/>
      <c r="G23" s="68"/>
    </row>
    <row r="24" spans="1:7" s="51" customFormat="1" ht="17.25" customHeight="1">
      <c r="A24" s="68"/>
      <c r="B24" s="114" t="s">
        <v>138</v>
      </c>
      <c r="C24" s="143">
        <f>ROUNDUP((C10/5),0)</f>
        <v>0</v>
      </c>
      <c r="D24" s="118">
        <f>$C$24*E24</f>
        <v>0</v>
      </c>
      <c r="E24" s="26">
        <f>500</f>
        <v>500</v>
      </c>
      <c r="F24" s="139"/>
      <c r="G24" s="68"/>
    </row>
    <row r="25" spans="1:7" s="51" customFormat="1" ht="17.25" customHeight="1">
      <c r="A25" s="68"/>
      <c r="B25" s="114" t="s">
        <v>139</v>
      </c>
      <c r="C25" s="143">
        <f>ROUNDUP((C11/4),0)</f>
        <v>0</v>
      </c>
      <c r="D25" s="118">
        <f>$C$25*550</f>
        <v>0</v>
      </c>
      <c r="E25" s="26">
        <v>550</v>
      </c>
      <c r="F25" s="139"/>
      <c r="G25" s="68"/>
    </row>
    <row r="26" spans="1:7" s="51" customFormat="1" ht="17.25" customHeight="1">
      <c r="A26" s="68"/>
      <c r="B26" s="114" t="s">
        <v>140</v>
      </c>
      <c r="C26" s="143">
        <f>ROUNDUP((C12/3),0)</f>
        <v>0</v>
      </c>
      <c r="D26" s="118">
        <f>$C$26*600</f>
        <v>0</v>
      </c>
      <c r="E26" s="26">
        <v>600</v>
      </c>
      <c r="F26" s="139"/>
      <c r="G26" s="68"/>
    </row>
    <row r="27" spans="1:7" s="51" customFormat="1" ht="17.25" customHeight="1">
      <c r="A27" s="68"/>
      <c r="B27" s="114" t="s">
        <v>141</v>
      </c>
      <c r="C27" s="143">
        <f>ROUNDUP((C13/2),0)</f>
        <v>0</v>
      </c>
      <c r="D27" s="118">
        <f>$C$27*1000</f>
        <v>0</v>
      </c>
      <c r="E27" s="26">
        <v>1000</v>
      </c>
      <c r="F27" s="139"/>
      <c r="G27" s="68"/>
    </row>
    <row r="28" spans="1:7" s="51" customFormat="1">
      <c r="A28" s="68"/>
      <c r="B28" s="117" t="s">
        <v>142</v>
      </c>
      <c r="C28" s="143">
        <f>ROUNDUP((C14),0)</f>
        <v>0</v>
      </c>
      <c r="D28" s="118">
        <f>$C$28*1000</f>
        <v>0</v>
      </c>
      <c r="E28" s="26">
        <v>1000</v>
      </c>
      <c r="F28" s="139"/>
      <c r="G28" s="68"/>
    </row>
    <row r="29" spans="1:7" s="51" customFormat="1" ht="17.25" customHeight="1">
      <c r="A29" s="68"/>
      <c r="B29" s="114" t="s">
        <v>143</v>
      </c>
      <c r="C29" s="143">
        <f>ROUNDUP((C16),0)</f>
        <v>0</v>
      </c>
      <c r="D29" s="118">
        <f>$C$29*1000</f>
        <v>0</v>
      </c>
      <c r="E29" s="26">
        <v>1000</v>
      </c>
      <c r="F29" s="139"/>
      <c r="G29" s="68"/>
    </row>
    <row r="30" spans="1:7" s="51" customFormat="1" ht="27">
      <c r="A30" s="68"/>
      <c r="B30" s="117" t="s">
        <v>161</v>
      </c>
      <c r="C30" s="143">
        <f>ROUNDUP((C17),0)</f>
        <v>0</v>
      </c>
      <c r="D30" s="118">
        <f>$C$30*1000</f>
        <v>0</v>
      </c>
      <c r="E30" s="26">
        <v>1000</v>
      </c>
      <c r="F30" s="139"/>
      <c r="G30" s="68"/>
    </row>
    <row r="31" spans="1:7" s="51" customFormat="1">
      <c r="A31" s="68"/>
      <c r="B31" s="114"/>
      <c r="C31" s="144"/>
      <c r="D31" s="118"/>
      <c r="E31" s="31"/>
      <c r="F31" s="139"/>
      <c r="G31" s="68"/>
    </row>
    <row r="32" spans="1:7" s="51" customFormat="1" ht="29.15">
      <c r="A32" s="68"/>
      <c r="B32" s="115" t="s">
        <v>144</v>
      </c>
      <c r="C32" s="143">
        <f>ROUNDUP(C46,0)</f>
        <v>1</v>
      </c>
      <c r="D32" s="118">
        <f>$C$32*370</f>
        <v>370</v>
      </c>
      <c r="E32" s="26">
        <v>370</v>
      </c>
      <c r="F32" s="55"/>
      <c r="G32" s="68"/>
    </row>
    <row r="33" spans="1:9" s="51" customFormat="1" ht="29.15">
      <c r="A33" s="68"/>
      <c r="B33" s="115" t="s">
        <v>167</v>
      </c>
      <c r="C33" s="143" cm="1">
        <f t="array" ref="C33">_xlfn.IFS(C14&gt;0,15,C14=0,0)</f>
        <v>0</v>
      </c>
      <c r="D33" s="118">
        <f>$C$33*370</f>
        <v>0</v>
      </c>
      <c r="E33" s="26"/>
      <c r="F33" s="55"/>
      <c r="G33" s="68"/>
    </row>
    <row r="34" spans="1:9" s="51" customFormat="1" ht="29.15">
      <c r="A34" s="68"/>
      <c r="B34" s="116" t="s">
        <v>166</v>
      </c>
      <c r="C34" s="145">
        <f>ROUNDUP(C17,0)</f>
        <v>0</v>
      </c>
      <c r="D34" s="119">
        <f>$C$34*370</f>
        <v>0</v>
      </c>
      <c r="E34" s="26">
        <v>370</v>
      </c>
      <c r="F34" s="55"/>
      <c r="G34" s="68"/>
    </row>
    <row r="35" spans="1:9" s="51" customFormat="1" hidden="1">
      <c r="A35" s="68"/>
      <c r="B35" s="141" t="s">
        <v>160</v>
      </c>
      <c r="C35" s="78"/>
      <c r="D35" s="142">
        <f>SUM(D24:D34)</f>
        <v>370</v>
      </c>
      <c r="E35" s="26"/>
      <c r="F35" s="55"/>
      <c r="G35" s="68"/>
    </row>
    <row r="36" spans="1:9" s="51" customFormat="1" ht="17.25" customHeight="1">
      <c r="A36" s="68"/>
      <c r="B36" s="69"/>
      <c r="C36" s="69"/>
      <c r="D36" s="68"/>
      <c r="E36" s="55"/>
      <c r="F36" s="55"/>
      <c r="G36" s="68"/>
    </row>
    <row r="37" spans="1:9" s="51" customFormat="1" ht="99" customHeight="1">
      <c r="A37" s="68"/>
      <c r="B37" s="69"/>
      <c r="C37" s="69"/>
      <c r="D37" s="68"/>
      <c r="E37" s="55"/>
      <c r="F37" s="55"/>
      <c r="G37" s="68"/>
    </row>
    <row r="38" spans="1:9" s="51" customFormat="1" ht="17.25" customHeight="1">
      <c r="A38" s="68"/>
      <c r="B38" s="69"/>
      <c r="C38" s="69"/>
      <c r="D38" s="68"/>
      <c r="E38" s="55"/>
      <c r="F38" s="55"/>
      <c r="G38" s="68"/>
    </row>
    <row r="39" spans="1:9" s="51" customFormat="1" ht="55" customHeight="1">
      <c r="A39" s="122"/>
      <c r="B39" s="180" t="s">
        <v>148</v>
      </c>
      <c r="C39" s="181"/>
      <c r="D39" s="182"/>
      <c r="E39" s="68"/>
      <c r="F39" s="68"/>
      <c r="G39" s="68"/>
    </row>
    <row r="40" spans="1:9" s="51" customFormat="1" ht="30" customHeight="1">
      <c r="A40" s="122"/>
      <c r="B40" s="152" t="s">
        <v>162</v>
      </c>
      <c r="C40" s="152"/>
      <c r="D40" s="153"/>
      <c r="E40" s="55"/>
      <c r="F40" s="55"/>
      <c r="G40" s="68"/>
    </row>
    <row r="41" spans="1:9" s="51" customFormat="1" ht="17.25" customHeight="1">
      <c r="A41" s="122"/>
      <c r="B41" s="69"/>
      <c r="C41" s="69"/>
      <c r="D41" s="122"/>
      <c r="E41" s="55"/>
      <c r="F41" s="55"/>
      <c r="G41" s="68"/>
    </row>
    <row r="42" spans="1:9" s="51" customFormat="1" ht="17.25" customHeight="1">
      <c r="A42" s="122"/>
      <c r="B42" s="69" t="s">
        <v>4</v>
      </c>
      <c r="C42" s="41">
        <v>1</v>
      </c>
      <c r="D42" s="122"/>
      <c r="E42" s="55"/>
      <c r="F42" s="55"/>
      <c r="G42" s="68"/>
    </row>
    <row r="43" spans="1:9" s="51" customFormat="1" ht="17.25" customHeight="1">
      <c r="A43" s="122"/>
      <c r="B43" s="69" t="s">
        <v>6</v>
      </c>
      <c r="C43" s="41">
        <v>1</v>
      </c>
      <c r="D43" s="122"/>
      <c r="E43" s="55"/>
      <c r="F43" s="55"/>
      <c r="G43" s="68"/>
    </row>
    <row r="44" spans="1:9" s="51" customFormat="1" ht="17.25" customHeight="1">
      <c r="A44" s="123"/>
      <c r="B44" s="69"/>
      <c r="C44" s="68"/>
      <c r="D44" s="123"/>
      <c r="E44" s="69"/>
      <c r="F44" s="68"/>
      <c r="G44" s="69"/>
    </row>
    <row r="45" spans="1:9" ht="12.65" customHeight="1">
      <c r="A45" s="122"/>
      <c r="B45" s="68"/>
      <c r="C45" s="68"/>
      <c r="D45" s="122"/>
      <c r="E45" s="68"/>
      <c r="F45" s="68"/>
      <c r="G45" s="69"/>
      <c r="H45" s="93"/>
      <c r="I45" s="112"/>
    </row>
    <row r="46" spans="1:9" ht="19.5" customHeight="1">
      <c r="A46" s="122"/>
      <c r="B46" s="69" t="s">
        <v>7</v>
      </c>
      <c r="C46" s="41">
        <v>1</v>
      </c>
      <c r="D46" s="122"/>
      <c r="E46" s="25"/>
      <c r="F46" s="42"/>
      <c r="G46" s="68"/>
    </row>
    <row r="47" spans="1:9">
      <c r="A47" s="122"/>
      <c r="B47" s="69" t="s">
        <v>128</v>
      </c>
      <c r="C47" s="41">
        <v>1</v>
      </c>
      <c r="D47" s="122"/>
      <c r="E47" s="25"/>
      <c r="F47" s="25"/>
      <c r="G47" s="68"/>
    </row>
    <row r="48" spans="1:9">
      <c r="A48" s="122"/>
      <c r="B48" s="70" t="s">
        <v>8</v>
      </c>
      <c r="C48" s="121">
        <f>C46+C47</f>
        <v>2</v>
      </c>
      <c r="D48" s="122"/>
      <c r="F48" s="169" t="s">
        <v>5</v>
      </c>
      <c r="G48" s="68"/>
    </row>
    <row r="49" spans="1:47" ht="19" customHeight="1">
      <c r="A49" s="122"/>
      <c r="B49" s="68"/>
      <c r="C49" s="68"/>
      <c r="D49" s="122"/>
      <c r="F49" s="169"/>
      <c r="G49" s="68"/>
    </row>
    <row r="50" spans="1:47" ht="18.649999999999999" customHeight="1">
      <c r="A50" s="68"/>
      <c r="B50" s="174" t="s">
        <v>129</v>
      </c>
      <c r="C50" s="170" t="s">
        <v>93</v>
      </c>
      <c r="D50" s="171"/>
      <c r="F50" s="169"/>
      <c r="G50" s="68"/>
      <c r="J50" s="47"/>
    </row>
    <row r="51" spans="1:47" ht="24" customHeight="1">
      <c r="A51" s="74"/>
      <c r="B51" s="175"/>
      <c r="C51" s="172"/>
      <c r="D51" s="173"/>
      <c r="E51" s="37" t="s">
        <v>9</v>
      </c>
      <c r="G51" s="68"/>
    </row>
    <row r="52" spans="1:47">
      <c r="A52" s="74"/>
      <c r="B52" s="176"/>
      <c r="C52" s="77" t="s">
        <v>10</v>
      </c>
      <c r="D52" s="133" t="s">
        <v>11</v>
      </c>
      <c r="E52" s="38" t="s">
        <v>12</v>
      </c>
      <c r="F52" t="s">
        <v>13</v>
      </c>
      <c r="G52" s="68"/>
    </row>
    <row r="53" spans="1:47" ht="4" customHeight="1">
      <c r="A53" s="74"/>
      <c r="B53" s="75"/>
      <c r="C53" s="60"/>
      <c r="D53" s="134"/>
      <c r="E53" s="38"/>
      <c r="G53" s="68"/>
    </row>
    <row r="54" spans="1:47" ht="16" customHeight="1">
      <c r="A54" s="74"/>
      <c r="B54" s="73" t="s">
        <v>88</v>
      </c>
      <c r="C54" s="72"/>
      <c r="D54" s="135"/>
      <c r="E54" s="25"/>
      <c r="G54" s="68"/>
    </row>
    <row r="55" spans="1:47" ht="16" customHeight="1">
      <c r="A55" s="74"/>
      <c r="B55" s="61" t="s">
        <v>14</v>
      </c>
      <c r="C55" s="78">
        <v>2</v>
      </c>
      <c r="D55" s="136">
        <f>$C$48-C55</f>
        <v>0</v>
      </c>
      <c r="E55" s="26">
        <f t="shared" ref="E55:E64" si="0">D55*F55</f>
        <v>0</v>
      </c>
      <c r="F55" s="33">
        <v>2000</v>
      </c>
      <c r="G55" s="68" t="str">
        <f>IF(C55&gt;$C$48,"Attention-ERREUR DE CALCUL! Le nombre existant dépasse le Total des salles à équiper ","")</f>
        <v/>
      </c>
    </row>
    <row r="56" spans="1:47" ht="16" customHeight="1">
      <c r="A56" s="74"/>
      <c r="B56" s="61" t="s">
        <v>15</v>
      </c>
      <c r="C56" s="78">
        <v>2</v>
      </c>
      <c r="D56" s="66">
        <f>C48-C56</f>
        <v>0</v>
      </c>
      <c r="E56" s="26">
        <f t="shared" si="0"/>
        <v>0</v>
      </c>
      <c r="F56" s="33">
        <v>750</v>
      </c>
      <c r="G56" s="68" t="str">
        <f>IF(C56&gt;$C$48,"Attention-ERREUR DE CALCUL! Le nombre existant dépasse le Total des salles à équiper ","")</f>
        <v/>
      </c>
    </row>
    <row r="57" spans="1:47" ht="16" customHeight="1">
      <c r="A57" s="74"/>
      <c r="B57" s="62" t="s">
        <v>16</v>
      </c>
      <c r="C57" s="79"/>
      <c r="D57" s="66">
        <f>D56</f>
        <v>0</v>
      </c>
      <c r="E57" s="26">
        <f t="shared" si="0"/>
        <v>0</v>
      </c>
      <c r="F57" s="33">
        <v>500</v>
      </c>
      <c r="G57" s="68" t="str">
        <f>IF(C57&gt;$C$48,"Attention-ERREUR DE CALCUL! Le nombre existant dépasse le Total des salles à équiper ","")</f>
        <v/>
      </c>
    </row>
    <row r="58" spans="1:47" ht="16" customHeight="1">
      <c r="A58" s="74"/>
      <c r="B58" s="62" t="s">
        <v>17</v>
      </c>
      <c r="C58" s="79"/>
      <c r="D58" s="66">
        <f>C42</f>
        <v>1</v>
      </c>
      <c r="E58" s="29">
        <f t="shared" si="0"/>
        <v>500</v>
      </c>
      <c r="F58" s="34">
        <v>500</v>
      </c>
      <c r="G58" s="68"/>
      <c r="AN58" s="154" t="s">
        <v>147</v>
      </c>
      <c r="AO58" s="155"/>
      <c r="AP58" s="155"/>
      <c r="AQ58" s="155"/>
      <c r="AR58" s="155"/>
      <c r="AS58" s="155"/>
      <c r="AT58" s="155"/>
      <c r="AU58" s="156"/>
    </row>
    <row r="59" spans="1:47" ht="16" customHeight="1">
      <c r="A59" s="74"/>
      <c r="B59" s="62" t="s">
        <v>18</v>
      </c>
      <c r="C59" s="78">
        <v>2</v>
      </c>
      <c r="D59" s="66">
        <f>C48-C59</f>
        <v>0</v>
      </c>
      <c r="E59" s="27">
        <f t="shared" si="0"/>
        <v>0</v>
      </c>
      <c r="F59" s="33">
        <v>500</v>
      </c>
      <c r="G59" s="68" t="str">
        <f>IF(C59&gt;$C$48,"Attention-ERREUR DE CALCUL! Le nombre existant dépasse le Total des salles à équiper ","")</f>
        <v/>
      </c>
      <c r="AN59" s="157" t="s">
        <v>97</v>
      </c>
      <c r="AO59" s="158"/>
      <c r="AP59" s="158"/>
      <c r="AQ59" s="158"/>
      <c r="AR59" s="158"/>
      <c r="AS59" s="158"/>
      <c r="AT59" s="158"/>
      <c r="AU59" s="159"/>
    </row>
    <row r="60" spans="1:47" ht="16" customHeight="1">
      <c r="A60" s="74"/>
      <c r="B60" s="62" t="s">
        <v>19</v>
      </c>
      <c r="C60" s="78">
        <v>1</v>
      </c>
      <c r="D60" s="66">
        <f>(C43-C60)</f>
        <v>0</v>
      </c>
      <c r="E60" s="27">
        <f t="shared" si="0"/>
        <v>0</v>
      </c>
      <c r="F60" s="33">
        <v>5000</v>
      </c>
      <c r="G60" s="68" t="str">
        <f>IF(C60&gt;$C$48,"Attention-ERREUR DE CALCUL! Le nombre existant dépasse le Total des salles à équiper ","")</f>
        <v/>
      </c>
      <c r="AN60" s="87">
        <v>2024</v>
      </c>
      <c r="AO60" s="88">
        <v>2025</v>
      </c>
      <c r="AP60" s="88">
        <v>2026</v>
      </c>
      <c r="AQ60" s="88">
        <v>2027</v>
      </c>
      <c r="AR60" s="88">
        <v>2028</v>
      </c>
      <c r="AS60" s="88">
        <v>2029</v>
      </c>
      <c r="AT60" s="88">
        <v>2030</v>
      </c>
      <c r="AU60" s="89">
        <v>2031</v>
      </c>
    </row>
    <row r="61" spans="1:47" ht="16" customHeight="1">
      <c r="A61" s="74"/>
      <c r="B61" s="62" t="s">
        <v>20</v>
      </c>
      <c r="C61" s="78">
        <v>1</v>
      </c>
      <c r="D61" s="66">
        <f>C43-C61</f>
        <v>0</v>
      </c>
      <c r="E61" s="31">
        <f t="shared" si="0"/>
        <v>0</v>
      </c>
      <c r="F61" s="33">
        <v>1000</v>
      </c>
      <c r="G61" s="68" t="str">
        <f>IF(C61&gt;$C$48,"Attention-ERREUR DE CALCUL! Le nombre existant dépasse le Total des salles à équiper ","")</f>
        <v/>
      </c>
      <c r="AN61" s="84" t="s">
        <v>95</v>
      </c>
      <c r="AO61" s="85" t="s">
        <v>94</v>
      </c>
      <c r="AP61" s="85" t="s">
        <v>94</v>
      </c>
      <c r="AQ61" s="85" t="s">
        <v>94</v>
      </c>
      <c r="AR61" s="85" t="s">
        <v>94</v>
      </c>
      <c r="AS61" s="84" t="s">
        <v>95</v>
      </c>
      <c r="AT61" s="85" t="s">
        <v>94</v>
      </c>
      <c r="AU61" s="85" t="s">
        <v>94</v>
      </c>
    </row>
    <row r="62" spans="1:47" ht="16" customHeight="1">
      <c r="A62" s="74"/>
      <c r="B62" s="62" t="s">
        <v>21</v>
      </c>
      <c r="C62" s="78">
        <v>1</v>
      </c>
      <c r="D62" s="66">
        <f>C42-C62</f>
        <v>0</v>
      </c>
      <c r="E62" s="31">
        <f t="shared" si="0"/>
        <v>0</v>
      </c>
      <c r="F62" s="33">
        <v>750</v>
      </c>
      <c r="G62" s="68" t="str">
        <f>IF(C62&gt;$C$48,"Attention-ERREUR DE CALCUL! Le nombre existant dépasse le Total des salles à équiper ","")</f>
        <v/>
      </c>
      <c r="AN62" s="90">
        <f>$D84</f>
        <v>7060</v>
      </c>
      <c r="AO62" s="83">
        <f t="shared" ref="AO62:AT62" si="1">$D83</f>
        <v>6060</v>
      </c>
      <c r="AP62" s="83">
        <f t="shared" si="1"/>
        <v>6060</v>
      </c>
      <c r="AQ62" s="83">
        <f t="shared" si="1"/>
        <v>6060</v>
      </c>
      <c r="AR62" s="83">
        <f t="shared" si="1"/>
        <v>6060</v>
      </c>
      <c r="AS62" s="83">
        <f t="shared" si="1"/>
        <v>6060</v>
      </c>
      <c r="AT62" s="83">
        <f t="shared" si="1"/>
        <v>6060</v>
      </c>
      <c r="AU62" s="91">
        <f>$D84</f>
        <v>7060</v>
      </c>
    </row>
    <row r="63" spans="1:47" ht="16" customHeight="1">
      <c r="A63" s="74"/>
      <c r="B63" s="62" t="s">
        <v>22</v>
      </c>
      <c r="C63" s="79"/>
      <c r="D63" s="66">
        <f>C42</f>
        <v>1</v>
      </c>
      <c r="E63" s="32">
        <f t="shared" si="0"/>
        <v>360</v>
      </c>
      <c r="F63" s="35">
        <f>(30*12)</f>
        <v>360</v>
      </c>
      <c r="G63" s="68"/>
    </row>
    <row r="64" spans="1:47" ht="16" customHeight="1">
      <c r="A64" s="74"/>
      <c r="B64" s="62" t="s">
        <v>23</v>
      </c>
      <c r="C64" s="79"/>
      <c r="D64" s="66">
        <f>C48</f>
        <v>2</v>
      </c>
      <c r="E64" s="32">
        <f t="shared" si="0"/>
        <v>200</v>
      </c>
      <c r="F64" s="34">
        <v>100</v>
      </c>
      <c r="G64" s="68"/>
      <c r="AN64" s="160" t="s">
        <v>98</v>
      </c>
      <c r="AO64" s="161"/>
      <c r="AP64" s="161"/>
      <c r="AQ64" s="161"/>
      <c r="AR64" s="161"/>
      <c r="AS64" s="161"/>
      <c r="AT64" s="161"/>
      <c r="AU64" s="162"/>
    </row>
    <row r="65" spans="1:47" ht="16" customHeight="1">
      <c r="A65" s="74"/>
      <c r="B65" s="73" t="s">
        <v>89</v>
      </c>
      <c r="C65" s="72"/>
      <c r="D65" s="73"/>
      <c r="E65" s="56"/>
      <c r="F65" s="56"/>
      <c r="G65" s="68"/>
      <c r="AN65" s="164" t="s">
        <v>99</v>
      </c>
      <c r="AO65" s="165"/>
      <c r="AP65" s="165"/>
      <c r="AQ65" s="165"/>
      <c r="AR65" s="165"/>
      <c r="AS65" s="165"/>
      <c r="AT65" s="165"/>
      <c r="AU65" s="166"/>
    </row>
    <row r="66" spans="1:47" ht="16" customHeight="1">
      <c r="A66" s="74"/>
      <c r="B66" s="63" t="s">
        <v>24</v>
      </c>
      <c r="C66" s="78">
        <v>2</v>
      </c>
      <c r="D66" s="66">
        <f>$C$48-C66</f>
        <v>0</v>
      </c>
      <c r="E66" s="27">
        <f>D66*F66</f>
        <v>0</v>
      </c>
      <c r="F66" s="43">
        <v>600</v>
      </c>
      <c r="G66" s="68" t="str">
        <f>IF(C66&gt;$C$48,"Attention-ERREUR DE CALCUL! Le nombre existant dépasse le Total des salles à équiper ","")</f>
        <v/>
      </c>
      <c r="AN66" s="87">
        <v>2024</v>
      </c>
      <c r="AO66" s="88">
        <v>2025</v>
      </c>
      <c r="AP66" s="88">
        <v>2026</v>
      </c>
      <c r="AQ66" s="88">
        <v>2027</v>
      </c>
      <c r="AR66" s="88">
        <v>2028</v>
      </c>
      <c r="AS66" s="88">
        <v>2029</v>
      </c>
      <c r="AT66" s="88">
        <v>2030</v>
      </c>
      <c r="AU66" s="89">
        <v>2031</v>
      </c>
    </row>
    <row r="67" spans="1:47" ht="16" customHeight="1">
      <c r="A67" s="74"/>
      <c r="B67" s="63" t="s">
        <v>25</v>
      </c>
      <c r="C67" s="78">
        <v>1</v>
      </c>
      <c r="D67" s="66">
        <f>ROUNDUP($C$48/3,0)</f>
        <v>1</v>
      </c>
      <c r="E67" s="27">
        <f>D67*F67</f>
        <v>700</v>
      </c>
      <c r="F67" s="36">
        <v>700</v>
      </c>
      <c r="G67" s="68" t="str">
        <f>IF(C67&gt;$C$42,"Attention-ERREUR DE CALCUL! Le nombre existant dépasse le Nombre de bâtiments","")</f>
        <v/>
      </c>
      <c r="AN67" s="84" t="s">
        <v>95</v>
      </c>
      <c r="AO67" s="85" t="s">
        <v>94</v>
      </c>
      <c r="AP67" s="85" t="s">
        <v>94</v>
      </c>
      <c r="AQ67" s="85" t="s">
        <v>94</v>
      </c>
      <c r="AR67" s="85" t="s">
        <v>94</v>
      </c>
      <c r="AS67" s="85" t="s">
        <v>94</v>
      </c>
      <c r="AT67" s="85" t="s">
        <v>94</v>
      </c>
      <c r="AU67" s="86" t="s">
        <v>95</v>
      </c>
    </row>
    <row r="68" spans="1:47" ht="16" customHeight="1">
      <c r="A68" s="74"/>
      <c r="B68" s="62" t="s">
        <v>26</v>
      </c>
      <c r="C68" s="78">
        <v>2</v>
      </c>
      <c r="D68" s="66">
        <f>$C$48-C68</f>
        <v>0</v>
      </c>
      <c r="E68" s="27">
        <f>D68*F68</f>
        <v>0</v>
      </c>
      <c r="F68" s="36">
        <v>500</v>
      </c>
      <c r="G68" s="68" t="str">
        <f>IF(C68&gt;$C$48,"Attention-ERREUR DE CALCUL! Le nombre existant dépasse le Total des salles à équiper ","")</f>
        <v/>
      </c>
      <c r="AN68" s="92">
        <f>$D87</f>
        <v>3530</v>
      </c>
      <c r="AO68" s="82">
        <f t="shared" ref="AO68:AT68" si="2">$D86</f>
        <v>3030</v>
      </c>
      <c r="AP68" s="82">
        <f t="shared" si="2"/>
        <v>3030</v>
      </c>
      <c r="AQ68" s="81">
        <f t="shared" si="2"/>
        <v>3030</v>
      </c>
      <c r="AR68" s="92">
        <f t="shared" si="2"/>
        <v>3030</v>
      </c>
      <c r="AS68" s="82">
        <f t="shared" si="2"/>
        <v>3030</v>
      </c>
      <c r="AT68" s="82">
        <f t="shared" si="2"/>
        <v>3030</v>
      </c>
      <c r="AU68" s="82">
        <f>$D87</f>
        <v>3530</v>
      </c>
    </row>
    <row r="69" spans="1:47" ht="16" customHeight="1">
      <c r="A69" s="74"/>
      <c r="B69" s="137" t="s">
        <v>90</v>
      </c>
      <c r="C69" s="72"/>
      <c r="D69" s="138"/>
      <c r="G69" s="68"/>
    </row>
    <row r="70" spans="1:47" ht="16" customHeight="1">
      <c r="A70" s="74"/>
      <c r="B70" s="64" t="s">
        <v>27</v>
      </c>
      <c r="C70" s="78">
        <v>2</v>
      </c>
      <c r="D70" s="66">
        <f t="shared" ref="D70:D75" si="3">$C$48-C70</f>
        <v>0</v>
      </c>
      <c r="E70" s="27">
        <f>D70*'Récapitulatif financier'!B20</f>
        <v>0</v>
      </c>
      <c r="F70" s="33">
        <v>1000</v>
      </c>
      <c r="G70" s="68" t="str">
        <f t="shared" ref="G70:G75" si="4">IF(C70&gt;$C$48,"Attention-ERREUR DE CALCUL! Le nombre existant dépasse le Total des salles à équiper ","")</f>
        <v/>
      </c>
    </row>
    <row r="71" spans="1:47" ht="16" customHeight="1">
      <c r="A71" s="74"/>
      <c r="B71" s="63" t="s">
        <v>28</v>
      </c>
      <c r="C71" s="78">
        <v>2</v>
      </c>
      <c r="D71" s="66">
        <f t="shared" si="3"/>
        <v>0</v>
      </c>
      <c r="E71" s="27">
        <f>D71*F71</f>
        <v>0</v>
      </c>
      <c r="F71" s="33">
        <v>400</v>
      </c>
      <c r="G71" s="68" t="str">
        <f t="shared" si="4"/>
        <v/>
      </c>
    </row>
    <row r="72" spans="1:47" ht="16" customHeight="1">
      <c r="A72" s="74"/>
      <c r="B72" s="63" t="s">
        <v>29</v>
      </c>
      <c r="C72" s="78">
        <v>2</v>
      </c>
      <c r="D72" s="66">
        <f t="shared" si="3"/>
        <v>0</v>
      </c>
      <c r="E72" s="27">
        <f>D72*F72</f>
        <v>0</v>
      </c>
      <c r="F72" s="33">
        <v>650</v>
      </c>
      <c r="G72" s="68" t="str">
        <f t="shared" si="4"/>
        <v/>
      </c>
    </row>
    <row r="73" spans="1:47" ht="16" customHeight="1">
      <c r="A73" s="74"/>
      <c r="B73" s="63" t="s">
        <v>30</v>
      </c>
      <c r="C73" s="78">
        <v>2</v>
      </c>
      <c r="D73" s="66">
        <f t="shared" si="3"/>
        <v>0</v>
      </c>
      <c r="E73" s="27">
        <f>D73*F73</f>
        <v>0</v>
      </c>
      <c r="F73" s="33">
        <v>370</v>
      </c>
      <c r="G73" s="68" t="str">
        <f t="shared" si="4"/>
        <v/>
      </c>
    </row>
    <row r="74" spans="1:47" ht="16" customHeight="1">
      <c r="A74" s="74"/>
      <c r="B74" s="63" t="s">
        <v>31</v>
      </c>
      <c r="C74" s="78">
        <v>1</v>
      </c>
      <c r="D74" s="66">
        <f t="shared" si="3"/>
        <v>1</v>
      </c>
      <c r="E74" s="27">
        <f>D74*F74</f>
        <v>300</v>
      </c>
      <c r="F74" s="33">
        <v>300</v>
      </c>
      <c r="G74" s="68" t="str">
        <f t="shared" si="4"/>
        <v/>
      </c>
      <c r="AN74" s="154" t="s">
        <v>146</v>
      </c>
      <c r="AO74" s="155"/>
      <c r="AP74" s="155"/>
      <c r="AQ74" s="155"/>
      <c r="AR74" s="155"/>
      <c r="AS74" s="155"/>
      <c r="AT74" s="155"/>
      <c r="AU74" s="156"/>
    </row>
    <row r="75" spans="1:47" ht="16" customHeight="1">
      <c r="A75" s="74"/>
      <c r="B75" s="63" t="s">
        <v>32</v>
      </c>
      <c r="C75" s="78">
        <v>2</v>
      </c>
      <c r="D75" s="66">
        <f t="shared" si="3"/>
        <v>0</v>
      </c>
      <c r="E75" s="27">
        <f>D75*F75</f>
        <v>0</v>
      </c>
      <c r="F75" s="33">
        <v>1154</v>
      </c>
      <c r="G75" s="68" t="str">
        <f t="shared" si="4"/>
        <v/>
      </c>
      <c r="AN75" s="157" t="s">
        <v>137</v>
      </c>
      <c r="AO75" s="158"/>
      <c r="AP75" s="158"/>
      <c r="AQ75" s="158"/>
      <c r="AR75" s="158"/>
      <c r="AS75" s="158"/>
      <c r="AT75" s="158"/>
      <c r="AU75" s="159"/>
    </row>
    <row r="76" spans="1:47" ht="16" customHeight="1">
      <c r="A76" s="74"/>
      <c r="B76" s="73" t="s">
        <v>91</v>
      </c>
      <c r="C76" s="72"/>
      <c r="D76" s="73"/>
      <c r="G76" s="68"/>
      <c r="AN76" s="87" t="s">
        <v>152</v>
      </c>
      <c r="AO76" s="88" t="s">
        <v>153</v>
      </c>
      <c r="AP76" s="88" t="s">
        <v>154</v>
      </c>
      <c r="AQ76" s="88" t="s">
        <v>155</v>
      </c>
      <c r="AR76" s="88" t="s">
        <v>156</v>
      </c>
      <c r="AS76" s="88" t="s">
        <v>157</v>
      </c>
      <c r="AT76" s="88" t="s">
        <v>158</v>
      </c>
      <c r="AU76" s="89" t="s">
        <v>159</v>
      </c>
    </row>
    <row r="77" spans="1:47" ht="16" customHeight="1">
      <c r="A77" s="74"/>
      <c r="B77" s="63" t="s">
        <v>33</v>
      </c>
      <c r="C77" s="79"/>
      <c r="D77" s="66">
        <f>C42</f>
        <v>1</v>
      </c>
      <c r="E77" s="29">
        <f>D77*F77</f>
        <v>1000</v>
      </c>
      <c r="F77" s="35">
        <v>1000</v>
      </c>
      <c r="G77" s="68"/>
      <c r="AN77" s="84" t="s">
        <v>95</v>
      </c>
      <c r="AO77" s="85" t="s">
        <v>94</v>
      </c>
      <c r="AP77" s="85" t="s">
        <v>94</v>
      </c>
      <c r="AQ77" s="85" t="s">
        <v>94</v>
      </c>
      <c r="AR77" s="85" t="s">
        <v>94</v>
      </c>
      <c r="AS77" s="86" t="s">
        <v>95</v>
      </c>
      <c r="AT77" s="85" t="s">
        <v>94</v>
      </c>
      <c r="AU77" s="85" t="s">
        <v>94</v>
      </c>
    </row>
    <row r="78" spans="1:47" ht="16" customHeight="1">
      <c r="A78" s="74"/>
      <c r="B78" s="76" t="s">
        <v>92</v>
      </c>
      <c r="C78" s="72"/>
      <c r="D78" s="73"/>
      <c r="E78" s="56"/>
      <c r="F78" s="56"/>
      <c r="G78" s="68"/>
      <c r="AN78" s="90">
        <f>$D35</f>
        <v>370</v>
      </c>
      <c r="AO78" s="83">
        <f>0</f>
        <v>0</v>
      </c>
      <c r="AP78" s="83">
        <v>0</v>
      </c>
      <c r="AQ78" s="83">
        <v>0</v>
      </c>
      <c r="AR78" s="83">
        <v>0</v>
      </c>
      <c r="AS78" s="83">
        <f>$D35</f>
        <v>370</v>
      </c>
      <c r="AT78" s="83">
        <v>0</v>
      </c>
      <c r="AU78" s="91">
        <f>$D72</f>
        <v>0</v>
      </c>
    </row>
    <row r="79" spans="1:47" ht="16" customHeight="1">
      <c r="A79" s="74"/>
      <c r="B79" s="63" t="s">
        <v>34</v>
      </c>
      <c r="C79" s="79"/>
      <c r="D79" s="66">
        <f>C42</f>
        <v>1</v>
      </c>
      <c r="E79" s="29">
        <f>D79*F79</f>
        <v>960</v>
      </c>
      <c r="F79" s="34">
        <v>960</v>
      </c>
      <c r="G79" s="68"/>
    </row>
    <row r="80" spans="1:47" ht="16" customHeight="1">
      <c r="A80" s="74"/>
      <c r="B80" s="65" t="s">
        <v>35</v>
      </c>
      <c r="C80" s="80"/>
      <c r="D80" s="67">
        <f>ROUNDUP(C46/20,0)</f>
        <v>1</v>
      </c>
      <c r="E80" s="29">
        <f>D80*F80</f>
        <v>3040</v>
      </c>
      <c r="F80" s="34">
        <f>80*38</f>
        <v>3040</v>
      </c>
      <c r="G80" s="68"/>
      <c r="L80" t="s">
        <v>96</v>
      </c>
    </row>
    <row r="81" spans="1:7">
      <c r="A81" s="68"/>
      <c r="B81" s="68"/>
      <c r="C81" s="71"/>
      <c r="D81" s="71"/>
      <c r="G81" s="68"/>
    </row>
    <row r="82" spans="1:7" hidden="1">
      <c r="A82" s="25"/>
      <c r="B82" s="167" t="s">
        <v>36</v>
      </c>
      <c r="C82" s="167"/>
      <c r="D82" s="44">
        <f>E55+E56+E57+E59+E60+E61+E62+E66+E67+E68+E70+E71+E72+E73+E74+E75</f>
        <v>1000</v>
      </c>
      <c r="G82" s="25"/>
    </row>
    <row r="83" spans="1:7" hidden="1">
      <c r="A83" s="25"/>
      <c r="B83" s="167" t="s">
        <v>37</v>
      </c>
      <c r="C83" s="167"/>
      <c r="D83" s="44">
        <f>E58+E63+E64+E77+E79+E80</f>
        <v>6060</v>
      </c>
      <c r="G83" s="25"/>
    </row>
    <row r="84" spans="1:7" hidden="1">
      <c r="A84" s="25"/>
      <c r="B84" s="40"/>
      <c r="C84" s="40" t="s">
        <v>38</v>
      </c>
      <c r="D84" s="45">
        <f>D83+D82</f>
        <v>7060</v>
      </c>
      <c r="G84" s="25"/>
    </row>
    <row r="85" spans="1:7" hidden="1">
      <c r="A85" s="25"/>
      <c r="B85" s="25"/>
      <c r="C85" s="39"/>
      <c r="D85" s="46"/>
      <c r="G85" s="25"/>
    </row>
    <row r="86" spans="1:7" hidden="1">
      <c r="A86" s="25"/>
      <c r="B86" s="167" t="s">
        <v>39</v>
      </c>
      <c r="C86" s="167"/>
      <c r="D86" s="44">
        <f>D83/$C$48</f>
        <v>3030</v>
      </c>
      <c r="G86" s="25"/>
    </row>
    <row r="87" spans="1:7" hidden="1">
      <c r="A87" s="25"/>
      <c r="B87" s="167" t="s">
        <v>40</v>
      </c>
      <c r="C87" s="167"/>
      <c r="D87" s="44">
        <f>SUM(D82:D83)/$C$48</f>
        <v>3530</v>
      </c>
      <c r="G87" s="25"/>
    </row>
    <row r="88" spans="1:7" hidden="1">
      <c r="A88" s="25"/>
      <c r="B88" s="25"/>
      <c r="C88" s="39"/>
      <c r="D88" s="39"/>
      <c r="E88" s="25"/>
      <c r="F88" s="25"/>
      <c r="G88" s="25"/>
    </row>
    <row r="89" spans="1:7" ht="204" customHeight="1">
      <c r="A89" s="68"/>
      <c r="B89" s="68"/>
      <c r="C89" s="71"/>
      <c r="D89" s="71"/>
      <c r="E89" s="68"/>
      <c r="F89" s="68"/>
      <c r="G89" s="68"/>
    </row>
    <row r="90" spans="1:7" ht="35.25" customHeight="1">
      <c r="A90" s="68"/>
      <c r="B90" s="68"/>
      <c r="C90" s="71"/>
      <c r="D90" s="71"/>
      <c r="E90" s="68"/>
      <c r="F90" s="68"/>
      <c r="G90" s="68"/>
    </row>
    <row r="91" spans="1:7" ht="35.25" customHeight="1">
      <c r="A91" s="68"/>
      <c r="B91" s="68"/>
      <c r="C91" s="71"/>
      <c r="D91" s="71"/>
      <c r="E91" s="68"/>
      <c r="F91" s="68"/>
      <c r="G91" s="68"/>
    </row>
    <row r="92" spans="1:7" ht="35.25" customHeight="1">
      <c r="A92" s="68"/>
      <c r="B92" s="68"/>
      <c r="C92" s="71"/>
      <c r="D92" s="71"/>
      <c r="E92" s="68"/>
      <c r="F92" s="68"/>
      <c r="G92" s="68"/>
    </row>
    <row r="93" spans="1:7">
      <c r="A93" s="68"/>
      <c r="B93" s="68"/>
      <c r="C93" s="71"/>
      <c r="D93" s="71"/>
      <c r="E93" s="68"/>
      <c r="F93" s="68"/>
      <c r="G93" s="68"/>
    </row>
    <row r="94" spans="1:7">
      <c r="A94" s="68"/>
      <c r="B94" s="68"/>
      <c r="C94" s="71"/>
      <c r="D94" s="71"/>
      <c r="E94" s="68"/>
      <c r="F94" s="68"/>
      <c r="G94" s="68"/>
    </row>
    <row r="95" spans="1:7">
      <c r="A95" s="68"/>
      <c r="B95" s="68"/>
      <c r="C95" s="71"/>
      <c r="D95" s="71"/>
      <c r="E95" s="68"/>
      <c r="F95" s="68"/>
      <c r="G95" s="68"/>
    </row>
    <row r="96" spans="1:7">
      <c r="A96" s="68"/>
      <c r="B96" s="68"/>
      <c r="C96" s="71"/>
      <c r="D96" s="71"/>
      <c r="E96" s="68"/>
      <c r="F96" s="68"/>
      <c r="G96" s="68"/>
    </row>
    <row r="97" spans="1:7">
      <c r="A97" s="68"/>
      <c r="B97" s="68"/>
      <c r="C97" s="71"/>
      <c r="D97" s="71"/>
      <c r="E97" s="68"/>
      <c r="F97" s="68"/>
      <c r="G97" s="68"/>
    </row>
    <row r="98" spans="1:7">
      <c r="A98" s="68"/>
      <c r="B98" s="68"/>
      <c r="C98" s="71"/>
      <c r="D98" s="71"/>
      <c r="E98" s="68"/>
      <c r="F98" s="68"/>
      <c r="G98" s="68"/>
    </row>
    <row r="99" spans="1:7">
      <c r="A99" s="68"/>
      <c r="B99" s="68"/>
      <c r="C99" s="71"/>
      <c r="D99" s="71"/>
      <c r="E99" s="68"/>
      <c r="F99" s="68"/>
      <c r="G99" s="68"/>
    </row>
    <row r="100" spans="1:7">
      <c r="A100" s="68"/>
      <c r="B100" s="68"/>
      <c r="C100" s="71"/>
      <c r="D100" s="71"/>
      <c r="E100" s="68"/>
      <c r="F100" s="68"/>
      <c r="G100" s="68"/>
    </row>
    <row r="101" spans="1:7">
      <c r="A101" s="68"/>
      <c r="B101" s="68"/>
      <c r="C101" s="71"/>
      <c r="D101" s="71"/>
      <c r="E101" s="68"/>
      <c r="F101" s="68"/>
      <c r="G101" s="68"/>
    </row>
    <row r="102" spans="1:7">
      <c r="A102" s="68"/>
      <c r="B102" s="68"/>
      <c r="C102" s="71"/>
      <c r="D102" s="71"/>
      <c r="E102" s="68"/>
      <c r="F102" s="68"/>
      <c r="G102" s="68"/>
    </row>
    <row r="103" spans="1:7">
      <c r="A103" s="68"/>
      <c r="B103" s="68"/>
      <c r="C103" s="71"/>
      <c r="D103" s="71"/>
      <c r="E103" s="68"/>
      <c r="F103" s="68"/>
      <c r="G103" s="68"/>
    </row>
    <row r="104" spans="1:7">
      <c r="A104" s="68"/>
      <c r="B104" s="68"/>
      <c r="C104" s="71"/>
      <c r="D104" s="71"/>
      <c r="E104" s="68"/>
      <c r="F104" s="68"/>
      <c r="G104" s="68"/>
    </row>
    <row r="105" spans="1:7">
      <c r="A105" s="68"/>
      <c r="B105" s="68"/>
      <c r="C105" s="71"/>
      <c r="D105" s="71"/>
      <c r="E105" s="68"/>
      <c r="F105" s="68"/>
      <c r="G105" s="68"/>
    </row>
    <row r="113" spans="3:10">
      <c r="C113"/>
      <c r="D113"/>
    </row>
    <row r="115" spans="3:10">
      <c r="J115" s="59"/>
    </row>
    <row r="153" spans="3:9">
      <c r="C153"/>
      <c r="D153"/>
    </row>
    <row r="154" spans="3:9">
      <c r="C154"/>
      <c r="D154"/>
    </row>
    <row r="155" spans="3:9">
      <c r="I155" s="57"/>
    </row>
    <row r="156" spans="3:9">
      <c r="I156" s="58"/>
    </row>
  </sheetData>
  <sheetProtection algorithmName="SHA-512" hashValue="O2gkBGsFtghI11iYH1A8kjHKso91dKhZOrqnr88VDhG7uxD5RbYXzgdtrYa+sCTFkmG/ufVsys/R9Mdydr2Z5Q==" saltValue="tWOuMvnqQFfc6BwW+hgXVA==" spinCount="100000" sheet="1" selectLockedCells="1"/>
  <mergeCells count="22">
    <mergeCell ref="F17:F19"/>
    <mergeCell ref="AN65:AU65"/>
    <mergeCell ref="B87:C87"/>
    <mergeCell ref="B4:D4"/>
    <mergeCell ref="F48:F50"/>
    <mergeCell ref="B86:C86"/>
    <mergeCell ref="C50:D51"/>
    <mergeCell ref="B50:B52"/>
    <mergeCell ref="B82:C82"/>
    <mergeCell ref="B83:C83"/>
    <mergeCell ref="B6:D6"/>
    <mergeCell ref="B19:B21"/>
    <mergeCell ref="B39:D39"/>
    <mergeCell ref="C19:D20"/>
    <mergeCell ref="B7:D7"/>
    <mergeCell ref="B8:D8"/>
    <mergeCell ref="B40:D40"/>
    <mergeCell ref="AN74:AU74"/>
    <mergeCell ref="AN75:AU75"/>
    <mergeCell ref="AN58:AU58"/>
    <mergeCell ref="AN59:AU59"/>
    <mergeCell ref="AN64:AU64"/>
  </mergeCells>
  <dataValidations count="26">
    <dataValidation type="whole" operator="greaterThanOrEqual" allowBlank="1" showInputMessage="1" showErrorMessage="1" sqref="D56:D64 C63:C64 C57:C58 D31:D35" xr:uid="{1F90A018-5486-4FC8-AA91-8E7E021836C2}">
      <formula1>0</formula1>
    </dataValidation>
    <dataValidation type="decimal" operator="greaterThanOrEqual" showInputMessage="1" showErrorMessage="1" error="Erreur; le nombre de salles ou de bâtiments ou d'étages existants ne peut dépasser le nombre total" sqref="E79:E80 E66:E68 E70:E75 E77 E55:E64 E24:E35" xr:uid="{FE8B2DBF-4F7E-4BB0-B936-ACE1E9FDB4E9}">
      <formula1>0</formula1>
    </dataValidation>
    <dataValidation type="whole" operator="greaterThanOrEqual" allowBlank="1" showInputMessage="1" showErrorMessage="1" promptTitle="Nombre de salle-s" prompt="Entrez un nombre entier supérieur ou égal à 0" sqref="C46:C47" xr:uid="{90836962-AEA3-45A3-BE45-E133755AFDB7}">
      <formula1>0</formula1>
    </dataValidation>
    <dataValidation type="whole" operator="greaterThanOrEqual" allowBlank="1" showInputMessage="1" showErrorMessage="1" promptTitle="Bâtiment-s" prompt="Entrez un nombre supérieur ou égal à 1" sqref="C42" xr:uid="{0C8E0CDC-D09D-439B-BE31-DB351C479CE3}">
      <formula1>1</formula1>
    </dataValidation>
    <dataValidation type="whole" operator="greaterThanOrEqual" allowBlank="1" showInputMessage="1" showErrorMessage="1" promptTitle="Equipement / infrastructure" prompt="Entrez un nombre supérieur ou égal à 0_x000a__x000a_1 équipement par salle" sqref="C75 C72:C73" xr:uid="{ED8E0D57-D274-421F-85D3-B8436EE5929E}">
      <formula1>0</formula1>
    </dataValidation>
    <dataValidation type="whole" operator="greaterThanOrEqual" allowBlank="1" showInputMessage="1" showErrorMessage="1" promptTitle="Equipement / infrastructure" prompt="Entrez un nombre supérieur ou égal à 0._x000a__x000a_1 équipement par salle : valises, chariots,armoires, etc., système de recharge pour les PC." sqref="C55" xr:uid="{60923A73-2959-4CFF-8A72-F18A239ED4CB}">
      <formula1>0</formula1>
    </dataValidation>
    <dataValidation type="whole" operator="greaterThanOrEqual" allowBlank="1" showInputMessage="1" showErrorMessage="1" promptTitle="Equipement / infrastructure" prompt="Entrez un nombre supérieur ou égal à 0_x000a__x000a_1 antenne WiFi par salle de classe" sqref="C56" xr:uid="{401574B9-3CA5-486B-9829-891D15BC585F}">
      <formula1>0</formula1>
    </dataValidation>
    <dataValidation type="whole" operator="greaterThanOrEqual" allowBlank="1" showInputMessage="1" showErrorMessage="1" promptTitle="Equipement / infrastructure" prompt="Entrez un nombre supérieur ou égal à 0_x000a__x000a_1 câble par salle à installer et tirer dans les gaines existantes de chaque salle" sqref="C59" xr:uid="{564A7DDA-519C-4378-9A72-6497516FC3B7}">
      <formula1>0</formula1>
    </dataValidation>
    <dataValidation type="whole" operator="greaterThanOrEqual" allowBlank="1" showInputMessage="1" showErrorMessage="1" promptTitle="Equipement / infrastructure" prompt="Entrez un nombre supérieur ou égal à 0_x000a__x000a_1 switch par étage" sqref="C60" xr:uid="{215E1ED2-57FB-4357-B315-5A75F3D0D8C4}">
      <formula1>0</formula1>
    </dataValidation>
    <dataValidation type="whole" operator="greaterThanOrEqual" allowBlank="1" showInputMessage="1" showErrorMessage="1" promptTitle="Equipement / infrastructure" prompt="Entrez un nombre supérieur ou égal à 0_x000a__x000a_1 armoire/switch" sqref="C61" xr:uid="{F2AA096D-D929-4087-9DDB-C8C4240F2565}">
      <formula1>0</formula1>
    </dataValidation>
    <dataValidation type="whole" operator="greaterThanOrEqual" allowBlank="1" showInputMessage="1" showErrorMessage="1" promptTitle="Equipement / infrastructure" prompt="Entrez un nombre supérieur ou égal à 0_x000a__x000a_1 accès / bâtiment; calcul sur la base du produit Smart Business Connect (SBC) de Swisscom avec rabais internet à l'école de Swisscom" sqref="C62 C35" xr:uid="{EDAA9D19-5BB5-472F-8AB6-2AB7AE930F08}">
      <formula1>0</formula1>
    </dataValidation>
    <dataValidation type="whole" operator="greaterThanOrEqual" allowBlank="1" showInputMessage="1" showErrorMessage="1" promptTitle="Equipement / infrastructure" prompt="Entrez un nombre supérieur ou égal à 0_x000a__x000a_1 unité par salle (correspond à 2 prises 230 V)_x000a_" sqref="C66" xr:uid="{C270AACF-7CE0-4780-B3E5-DB7CB5E20A45}">
      <formula1>0</formula1>
    </dataValidation>
    <dataValidation type="whole" operator="greaterThanOrEqual" allowBlank="1" showInputMessage="1" showErrorMessage="1" promptTitle="Equipement / infrastructure" prompt="Entrez un nombre supérieur ou égal à 0_x000a__x000a_1 fusible pour 3 salles de classe (exigence min. 2500W) " sqref="C67" xr:uid="{085FB579-EA5B-4F04-B6FD-50778EA67131}">
      <formula1>0</formula1>
    </dataValidation>
    <dataValidation type="whole" operator="greaterThanOrEqual" allowBlank="1" showInputMessage="1" showErrorMessage="1" promptTitle="Equipement / infrastructure" prompt="Entrez un nombre supérieur ou égal à 0_x000a__x000a_1 unité par salle (câbles electriques à installer et tirer dans les canaux existants)" sqref="C68" xr:uid="{B1EB76CF-BB40-4FD1-BED3-8FD3AAB26250}">
      <formula1>0</formula1>
    </dataValidation>
    <dataValidation type="whole" operator="greaterThanOrEqual" allowBlank="1" showInputMessage="1" showErrorMessage="1" promptTitle="Equipement / infrastructure" prompt="Entrez un nombre supérieur ou égal à 0_x000a__x000a_1 équipement par salle avec connectivité sans fil (par exemple Miracast): beamer standard ou ultra courte focale; écran TV LED ou tableau blanc interactif; beamer interactif" sqref="C70" xr:uid="{4B45217B-F099-4395-8329-7F66F07FDACC}">
      <formula1>0</formula1>
    </dataValidation>
    <dataValidation type="whole" operator="greaterThanOrEqual" allowBlank="1" showInputMessage="1" showErrorMessage="1" promptTitle="Equipement / infrastructure" prompt="Entrez un nombre supérieur ou égal à 0_x000a__x000a_1 équipement par salle : barres son active (Bluetooth)" sqref="C71" xr:uid="{A42CA5C3-D23A-4AC9-B6B0-C5B53E2CD802}">
      <formula1>0</formula1>
    </dataValidation>
    <dataValidation type="whole" operator="greaterThanOrEqual" allowBlank="1" showInputMessage="1" showErrorMessage="1" promptTitle="Equipement / infrastructure" prompt="Entrez un nombre supérieur ou égal à 0_x000a__x000a_1 set par salle (adaptateur de câbles; câbles de réserve, casques audio avec micro, etc.)" sqref="C74" xr:uid="{756F6083-CCBC-4BF7-B215-C5B93BFFE3C9}">
      <formula1>0</formula1>
    </dataValidation>
    <dataValidation type="whole" operator="greaterThanOrEqual" allowBlank="1" showInputMessage="1" showErrorMessage="1" promptTitle="Etage-s" prompt="Entrez un nombre supérieur ou égal à 1" sqref="C43 C36:C38 C15 C18" xr:uid="{632FE929-D098-493E-BDE8-7A79C3F12F22}">
      <formula1>1</formula1>
    </dataValidation>
    <dataValidation allowBlank="1" showInputMessage="1" showErrorMessage="1" promptTitle="Nombre d'élèves 9-11H" prompt="Insérez un nombre égal ou supérieur à 0." sqref="C14" xr:uid="{CF0BA9E8-BE6E-44F7-A18A-90C00D059F5E}"/>
    <dataValidation allowBlank="1" showInputMessage="1" showErrorMessage="1" promptTitle="Nombre du personnes du corps ens" prompt="Insérez un nombre égal ou supérieur à 0 (incl. uniquement logopédistes et ens. spécialisée)." sqref="C16" xr:uid="{3CCF7EF7-87CC-4F89-B1D4-20698CCF40FC}"/>
    <dataValidation allowBlank="1" showInputMessage="1" showErrorMessage="1" promptTitle="Nombre de personnes admin" prompt="Insérez un nombre égal ou supérieur à 0 (excl. personnel scolaire communal)." sqref="C17" xr:uid="{882A5EA8-B2D3-45D0-B07A-21BBFFCA4921}"/>
    <dataValidation allowBlank="1" showInputMessage="1" showErrorMessage="1" promptTitle="Nombre d'élèves 1-2H" prompt="Insérez un nombre égal ou supérieur à 0." sqref="C10" xr:uid="{3B24CEBD-FBF5-4748-9E05-AA0A6E9AAAFA}"/>
    <dataValidation allowBlank="1" showInputMessage="1" showErrorMessage="1" promptTitle="Nombre d'élèves 3-4H" prompt="Insérez un nombre égal ou supérieur à 0." sqref="C11" xr:uid="{8EB385E8-F599-4A44-A1DA-DDA74006A9E4}"/>
    <dataValidation allowBlank="1" showInputMessage="1" showErrorMessage="1" promptTitle="Nombre d'élèves 5-6H" prompt="Insérez un nombre égal ou supérieur à 0." sqref="C12" xr:uid="{17C8A45A-263F-44F1-AC95-ECCC7B2ADAE4}"/>
    <dataValidation allowBlank="1" showInputMessage="1" showErrorMessage="1" promptTitle="Nombre d'élèves 7-8H" prompt="Insérez un nombre égal ou supérieur à 0." sqref="C13" xr:uid="{9F2A4867-781A-48E2-AC36-9D18A9455B42}"/>
    <dataValidation allowBlank="1" showErrorMessage="1" sqref="C24:C34" xr:uid="{8EA3944A-264A-4BF2-84C7-130B969FCEC6}"/>
  </dataValidations>
  <pageMargins left="0.70866141732283505" right="0.70866141732283505" top="0.74803149606299202" bottom="0.74803149606299202" header="0.31496062992126" footer="0.31496062992126"/>
  <pageSetup paperSize="9" scale="35" orientation="portrait" r:id="rId1"/>
  <headerFooter>
    <oddHeader>&amp;C&amp;F</oddHeader>
    <oddFooter>&amp;LVersion 1.0 / Centre de compétences Fritic &amp;C&amp;A&amp;RImprimé le &amp;D</oddFooter>
  </headerFooter>
  <ignoredErrors>
    <ignoredError sqref="G67 D67" formula="1"/>
    <ignoredError sqref="C24:C27 C34 C29:C30 C32"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FEBD-E32E-45C2-935F-5F48F01CB346}">
  <sheetPr>
    <pageSetUpPr fitToPage="1"/>
  </sheetPr>
  <dimension ref="A1:F37"/>
  <sheetViews>
    <sheetView workbookViewId="0"/>
  </sheetViews>
  <sheetFormatPr baseColWidth="10" defaultColWidth="11.3828125" defaultRowHeight="14.6"/>
  <cols>
    <col min="1" max="1" width="51.3828125" customWidth="1"/>
    <col min="2" max="2" width="16.3828125" bestFit="1" customWidth="1"/>
    <col min="3" max="3" width="13" bestFit="1" customWidth="1"/>
    <col min="4" max="4" width="15" bestFit="1" customWidth="1"/>
    <col min="5" max="5" width="13.3828125" bestFit="1" customWidth="1"/>
    <col min="6" max="6" width="64.3828125" style="3" customWidth="1"/>
    <col min="7" max="7" width="10.3828125" customWidth="1"/>
  </cols>
  <sheetData>
    <row r="1" spans="1:6">
      <c r="B1" s="1" t="s">
        <v>41</v>
      </c>
      <c r="C1" s="1"/>
      <c r="D1" s="2" t="s">
        <v>42</v>
      </c>
      <c r="E1" s="2"/>
      <c r="F1" s="3" t="s">
        <v>43</v>
      </c>
    </row>
    <row r="2" spans="1:6">
      <c r="A2" t="s">
        <v>44</v>
      </c>
      <c r="B2" s="1">
        <v>1820</v>
      </c>
      <c r="C2" s="4"/>
      <c r="D2" s="2">
        <v>279</v>
      </c>
      <c r="E2" s="5"/>
    </row>
    <row r="3" spans="1:6">
      <c r="B3" s="1" t="s">
        <v>45</v>
      </c>
      <c r="C3" s="1" t="s">
        <v>46</v>
      </c>
      <c r="D3" s="2" t="s">
        <v>45</v>
      </c>
      <c r="E3" s="2" t="s">
        <v>46</v>
      </c>
    </row>
    <row r="4" spans="1:6" ht="14.5" customHeight="1">
      <c r="A4" s="6" t="s">
        <v>0</v>
      </c>
      <c r="B4" s="7"/>
      <c r="C4" s="7"/>
      <c r="D4" s="7"/>
      <c r="E4" s="7"/>
      <c r="F4" s="8"/>
    </row>
    <row r="5" spans="1:6">
      <c r="A5" s="9" t="s">
        <v>14</v>
      </c>
      <c r="B5" s="10">
        <v>2000</v>
      </c>
      <c r="C5" s="10"/>
      <c r="D5" s="11"/>
      <c r="E5" s="10"/>
      <c r="F5" s="3" t="s">
        <v>47</v>
      </c>
    </row>
    <row r="6" spans="1:6">
      <c r="A6" s="9" t="s">
        <v>48</v>
      </c>
      <c r="B6" s="10">
        <v>750</v>
      </c>
      <c r="C6" s="10"/>
      <c r="D6" s="12"/>
      <c r="E6" s="12"/>
      <c r="F6" s="3" t="s">
        <v>49</v>
      </c>
    </row>
    <row r="7" spans="1:6">
      <c r="A7" s="9" t="s">
        <v>50</v>
      </c>
      <c r="B7" s="10">
        <v>500</v>
      </c>
      <c r="C7" s="10"/>
      <c r="D7" s="10"/>
      <c r="E7" s="10"/>
    </row>
    <row r="8" spans="1:6">
      <c r="A8" s="9" t="s">
        <v>51</v>
      </c>
      <c r="B8" s="10">
        <v>500</v>
      </c>
      <c r="C8" s="10"/>
      <c r="D8" s="10"/>
      <c r="E8" s="10"/>
    </row>
    <row r="9" spans="1:6" ht="17.25" customHeight="1">
      <c r="A9" s="9" t="s">
        <v>52</v>
      </c>
      <c r="B9" s="10"/>
      <c r="C9" s="10"/>
      <c r="D9" s="10">
        <v>5000</v>
      </c>
      <c r="E9" s="10"/>
      <c r="F9" s="3" t="s">
        <v>53</v>
      </c>
    </row>
    <row r="10" spans="1:6">
      <c r="A10" s="9" t="s">
        <v>54</v>
      </c>
      <c r="B10" s="10"/>
      <c r="C10" s="10"/>
      <c r="D10" s="10">
        <v>1000</v>
      </c>
      <c r="E10" s="10"/>
    </row>
    <row r="11" spans="1:6">
      <c r="A11" s="9" t="s">
        <v>55</v>
      </c>
      <c r="B11" s="10"/>
      <c r="C11" s="10"/>
      <c r="D11" s="10">
        <v>750</v>
      </c>
      <c r="E11" s="10"/>
      <c r="F11" s="3" t="s">
        <v>56</v>
      </c>
    </row>
    <row r="12" spans="1:6">
      <c r="A12" s="9" t="s">
        <v>57</v>
      </c>
      <c r="B12" s="10"/>
      <c r="C12" s="10"/>
      <c r="D12" s="10"/>
      <c r="E12" s="30">
        <f>(30*12)</f>
        <v>360</v>
      </c>
      <c r="F12" s="3" t="s">
        <v>58</v>
      </c>
    </row>
    <row r="13" spans="1:6">
      <c r="A13" s="9" t="s">
        <v>23</v>
      </c>
      <c r="B13" s="10"/>
      <c r="C13" s="10">
        <v>100</v>
      </c>
      <c r="D13" s="10"/>
      <c r="E13" s="10"/>
      <c r="F13" s="3" t="s">
        <v>59</v>
      </c>
    </row>
    <row r="14" spans="1:6">
      <c r="A14" s="9" t="s">
        <v>60</v>
      </c>
      <c r="B14" s="10"/>
      <c r="C14" s="10"/>
      <c r="D14" s="10"/>
      <c r="E14" s="10">
        <v>500</v>
      </c>
      <c r="F14" s="3" t="s">
        <v>61</v>
      </c>
    </row>
    <row r="15" spans="1:6">
      <c r="A15" s="6" t="s">
        <v>62</v>
      </c>
      <c r="B15" s="13"/>
      <c r="C15" s="13"/>
      <c r="D15" s="13"/>
      <c r="E15" s="13"/>
      <c r="F15" s="8"/>
    </row>
    <row r="16" spans="1:6">
      <c r="A16" t="s">
        <v>63</v>
      </c>
      <c r="B16" s="14">
        <v>300</v>
      </c>
      <c r="C16" s="14"/>
      <c r="D16" s="10"/>
      <c r="E16" s="10"/>
      <c r="F16" s="15" t="s">
        <v>64</v>
      </c>
    </row>
    <row r="17" spans="1:6">
      <c r="A17" t="s">
        <v>65</v>
      </c>
      <c r="B17" s="14">
        <v>700</v>
      </c>
      <c r="C17" s="14"/>
      <c r="D17" s="16"/>
      <c r="E17" s="10"/>
      <c r="F17" s="15" t="s">
        <v>66</v>
      </c>
    </row>
    <row r="18" spans="1:6">
      <c r="A18" s="9" t="s">
        <v>67</v>
      </c>
      <c r="B18" s="14">
        <v>500</v>
      </c>
      <c r="C18" s="14"/>
      <c r="D18" s="10"/>
      <c r="E18" s="10"/>
    </row>
    <row r="19" spans="1:6">
      <c r="A19" s="6" t="s">
        <v>1</v>
      </c>
      <c r="B19" s="13"/>
      <c r="C19" s="13"/>
      <c r="D19" s="17"/>
      <c r="E19" s="17"/>
      <c r="F19" s="8"/>
    </row>
    <row r="20" spans="1:6">
      <c r="A20" t="s">
        <v>68</v>
      </c>
      <c r="B20" s="10">
        <v>1000</v>
      </c>
      <c r="C20" s="10"/>
      <c r="D20" s="10"/>
      <c r="E20" s="10"/>
      <c r="F20" s="3" t="s">
        <v>69</v>
      </c>
    </row>
    <row r="21" spans="1:6">
      <c r="A21" t="s">
        <v>70</v>
      </c>
      <c r="B21" s="10">
        <v>400</v>
      </c>
      <c r="C21" s="10"/>
      <c r="D21" s="10"/>
      <c r="E21" s="10"/>
      <c r="F21" s="3" t="s">
        <v>71</v>
      </c>
    </row>
    <row r="22" spans="1:6">
      <c r="A22" t="s">
        <v>72</v>
      </c>
      <c r="B22" s="10">
        <v>650</v>
      </c>
      <c r="C22" s="10"/>
      <c r="D22" s="10"/>
      <c r="E22" s="10"/>
      <c r="F22" s="3" t="s">
        <v>73</v>
      </c>
    </row>
    <row r="23" spans="1:6">
      <c r="A23" t="s">
        <v>30</v>
      </c>
      <c r="B23" s="10">
        <v>370</v>
      </c>
      <c r="C23" s="10"/>
      <c r="D23" s="10"/>
      <c r="E23" s="10"/>
      <c r="F23" s="15" t="s">
        <v>74</v>
      </c>
    </row>
    <row r="24" spans="1:6">
      <c r="A24" t="s">
        <v>75</v>
      </c>
      <c r="B24" s="10">
        <v>300</v>
      </c>
      <c r="C24" s="10"/>
      <c r="D24" s="10"/>
      <c r="E24" s="10"/>
    </row>
    <row r="25" spans="1:6">
      <c r="A25" t="s">
        <v>32</v>
      </c>
      <c r="B25" s="10">
        <v>1154</v>
      </c>
      <c r="C25" s="10"/>
      <c r="D25" s="10"/>
      <c r="E25" s="10"/>
      <c r="F25" s="3" t="s">
        <v>76</v>
      </c>
    </row>
    <row r="26" spans="1:6">
      <c r="A26" s="6" t="s">
        <v>2</v>
      </c>
      <c r="B26" s="13"/>
      <c r="C26" s="13"/>
      <c r="D26" s="13"/>
      <c r="E26" s="13"/>
      <c r="F26" s="8"/>
    </row>
    <row r="27" spans="1:6">
      <c r="A27" t="s">
        <v>77</v>
      </c>
      <c r="B27" s="18"/>
      <c r="C27" s="10"/>
      <c r="D27" s="10"/>
      <c r="E27" s="30">
        <v>1000</v>
      </c>
      <c r="F27" s="3" t="s">
        <v>78</v>
      </c>
    </row>
    <row r="28" spans="1:6">
      <c r="A28" s="6" t="s">
        <v>79</v>
      </c>
      <c r="B28" s="13"/>
      <c r="C28" s="13"/>
      <c r="D28" s="13"/>
      <c r="E28" s="13"/>
      <c r="F28" s="8"/>
    </row>
    <row r="29" spans="1:6">
      <c r="A29" t="s">
        <v>34</v>
      </c>
      <c r="B29" s="10"/>
      <c r="C29" s="10"/>
      <c r="D29" s="10">
        <v>960</v>
      </c>
      <c r="E29" s="10"/>
      <c r="F29" s="3" t="s">
        <v>80</v>
      </c>
    </row>
    <row r="30" spans="1:6">
      <c r="A30" s="6" t="s">
        <v>81</v>
      </c>
      <c r="B30" s="13"/>
      <c r="C30" s="13"/>
      <c r="D30" s="13"/>
      <c r="E30" s="13"/>
      <c r="F30" s="8"/>
    </row>
    <row r="31" spans="1:6">
      <c r="A31" t="s">
        <v>82</v>
      </c>
      <c r="B31" s="10">
        <f>SUM(B5:B25)</f>
        <v>9124</v>
      </c>
      <c r="C31" s="10">
        <f>SUM(C5:C25)</f>
        <v>100</v>
      </c>
      <c r="D31" s="10"/>
      <c r="E31" s="10"/>
    </row>
    <row r="32" spans="1:6">
      <c r="A32" t="s">
        <v>83</v>
      </c>
      <c r="B32" s="10"/>
      <c r="C32" s="10"/>
      <c r="D32" s="10">
        <f>SUM(D5:D29)</f>
        <v>7710</v>
      </c>
      <c r="E32" s="10">
        <f>SUM(E5:E29)</f>
        <v>1860</v>
      </c>
    </row>
    <row r="33" spans="1:6">
      <c r="A33" s="19" t="s">
        <v>84</v>
      </c>
      <c r="B33" s="20">
        <f>B31*$B$2</f>
        <v>16605680</v>
      </c>
      <c r="C33" s="10">
        <f>C31*$B$2</f>
        <v>182000</v>
      </c>
      <c r="D33" s="20">
        <f>D32*$D$2</f>
        <v>2151090</v>
      </c>
      <c r="E33" s="10">
        <f>E32*$D$2</f>
        <v>518940</v>
      </c>
      <c r="F33" s="3" t="s">
        <v>85</v>
      </c>
    </row>
    <row r="34" spans="1:6">
      <c r="A34" t="s">
        <v>86</v>
      </c>
      <c r="B34" s="10"/>
      <c r="C34" s="20">
        <f>5*C33</f>
        <v>910000</v>
      </c>
      <c r="D34" s="10"/>
      <c r="E34" s="20">
        <f>5*E33</f>
        <v>2594700</v>
      </c>
    </row>
    <row r="35" spans="1:6">
      <c r="B35" s="21"/>
      <c r="C35" s="21"/>
      <c r="D35" s="21"/>
      <c r="E35" s="21"/>
    </row>
    <row r="36" spans="1:6">
      <c r="B36" s="21"/>
      <c r="C36" s="21"/>
      <c r="D36" s="21"/>
      <c r="E36" s="21"/>
    </row>
    <row r="37" spans="1:6">
      <c r="B37" s="21"/>
      <c r="C37" s="21"/>
      <c r="D37" s="21"/>
      <c r="E37" s="21"/>
    </row>
  </sheetData>
  <pageMargins left="0.7" right="0.7"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3B83767BB53F4DA5CF80612039572E" ma:contentTypeVersion="9" ma:contentTypeDescription="Crée un document." ma:contentTypeScope="" ma:versionID="2e0b87be1f6db01b5295ee7190062e1f">
  <xsd:schema xmlns:xsd="http://www.w3.org/2001/XMLSchema" xmlns:xs="http://www.w3.org/2001/XMLSchema" xmlns:p="http://schemas.microsoft.com/office/2006/metadata/properties" xmlns:ns2="37d198fb-a616-4ff8-b7ad-6e15606dac7c" xmlns:ns3="d01c6a45-0396-459d-a342-b429cadb01f2" targetNamespace="http://schemas.microsoft.com/office/2006/metadata/properties" ma:root="true" ma:fieldsID="2830b393ce636adc62d2fa9d7b413b9e" ns2:_="" ns3:_="">
    <xsd:import namespace="37d198fb-a616-4ff8-b7ad-6e15606dac7c"/>
    <xsd:import namespace="d01c6a45-0396-459d-a342-b429cadb01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198fb-a616-4ff8-b7ad-6e15606da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1c6a45-0396-459d-a342-b429cadb01f2"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01c6a45-0396-459d-a342-b429cadb01f2">
      <UserInfo>
        <DisplayName>Bersier Christian</DisplayName>
        <AccountId>119</AccountId>
        <AccountType/>
      </UserInfo>
      <UserInfo>
        <DisplayName>Froidevaux Philippe</DisplayName>
        <AccountId>14</AccountId>
        <AccountType/>
      </UserInfo>
      <UserInfo>
        <DisplayName>Bex Thierry</DisplayName>
        <AccountId>9</AccountId>
        <AccountType/>
      </UserInfo>
    </SharedWithUsers>
  </documentManagement>
</p:properties>
</file>

<file path=customXml/itemProps1.xml><?xml version="1.0" encoding="utf-8"?>
<ds:datastoreItem xmlns:ds="http://schemas.openxmlformats.org/officeDocument/2006/customXml" ds:itemID="{9051EAFE-F7D4-4C7A-B42A-D19F6098A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d198fb-a616-4ff8-b7ad-6e15606dac7c"/>
    <ds:schemaRef ds:uri="d01c6a45-0396-459d-a342-b429cadb0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91B1BC-F9E2-49E2-8683-DF6C4F0F906E}">
  <ds:schemaRefs>
    <ds:schemaRef ds:uri="http://schemas.microsoft.com/sharepoint/v3/contenttype/forms"/>
  </ds:schemaRefs>
</ds:datastoreItem>
</file>

<file path=customXml/itemProps3.xml><?xml version="1.0" encoding="utf-8"?>
<ds:datastoreItem xmlns:ds="http://schemas.openxmlformats.org/officeDocument/2006/customXml" ds:itemID="{B102C160-258C-41CB-B0C2-9B7A8AF1CBDA}">
  <ds:schemaRefs>
    <ds:schemaRef ds:uri="http://schemas.microsoft.com/office/infopath/2007/PartnerControls"/>
    <ds:schemaRef ds:uri="http://purl.org/dc/elements/1.1/"/>
    <ds:schemaRef ds:uri="d01c6a45-0396-459d-a342-b429cadb01f2"/>
    <ds:schemaRef ds:uri="http://schemas.microsoft.com/office/2006/metadata/properties"/>
    <ds:schemaRef ds:uri="37d198fb-a616-4ff8-b7ad-6e15606dac7c"/>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Description</vt:lpstr>
      <vt:lpstr>Calculateur</vt:lpstr>
      <vt:lpstr>Récapitulatif financier</vt:lpstr>
      <vt:lpstr>Calculateur!Zone_d_impression</vt:lpstr>
      <vt:lpstr>Description!Zone_d_impression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Bersier Christian</dc:creator>
  <cp:keywords/>
  <dc:description/>
  <cp:lastModifiedBy>Timon RIMENSBERGER</cp:lastModifiedBy>
  <cp:revision/>
  <cp:lastPrinted>2021-09-23T13:30:07Z</cp:lastPrinted>
  <dcterms:created xsi:type="dcterms:W3CDTF">2021-09-15T07:40:49Z</dcterms:created>
  <dcterms:modified xsi:type="dcterms:W3CDTF">2022-03-31T06:44:15Z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0x010100A23B83767BB53F4DA5CF80612039572E</vt:lpwstr>
  </property>
</Properties>
</file>