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76" windowHeight="6396" tabRatio="659" activeTab="0"/>
  </bookViews>
  <sheets>
    <sheet name="Données générales" sheetId="1" r:id="rId1"/>
    <sheet name="Bâtiments" sheetId="2" r:id="rId2"/>
    <sheet name="Bétail et systèmes de garde" sheetId="3" r:id="rId3"/>
    <sheet name="Effectifs bétail" sheetId="4" r:id="rId4"/>
    <sheet name="Fosse+fumière" sheetId="5" r:id="rId5"/>
    <sheet name="Fourrages" sheetId="6" r:id="rId6"/>
    <sheet name="Normes diverses" sheetId="7" state="hidden" r:id="rId7"/>
    <sheet name="calculs selon gelan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cat_a">'Données générales'!$U$52</definedName>
    <definedName name="cat_b" localSheetId="5">#REF!</definedName>
    <definedName name="cat_b">'Données générales'!#REF!</definedName>
    <definedName name="cat_c">'Données générales'!$U$53</definedName>
    <definedName name="chev_moins3">'Données générales'!$R$121:$W$121</definedName>
    <definedName name="chev_plus3">'Données générales'!$R$120:$W$120</definedName>
    <definedName name="DINDE">'Données générales'!$R$137:$S$137</definedName>
    <definedName name="engrais">'Données générales'!$R$118:$W$118</definedName>
    <definedName name="gen_1_2">'Données générales'!$R$114:$W$114</definedName>
    <definedName name="gen_2_3">'Données générales'!$R$113:$W$113</definedName>
    <definedName name="gen_6_1">'Données générales'!$R$115:$W$115</definedName>
    <definedName name="_xlnm.Print_Titles" localSheetId="2">'Bétail et systèmes de garde'!$1:$1</definedName>
    <definedName name="jument">'Données générales'!$R$122:$W$122</definedName>
    <definedName name="Mout">'Données générales'!$R$123:$W$123</definedName>
    <definedName name="mout_lait">'Données générales'!$R$124:$W$124</definedName>
    <definedName name="P_ENGR">'Données générales'!$R$136:$S$136</definedName>
    <definedName name="P_POND">'Données générales'!$R$135:$S$135</definedName>
    <definedName name="plaine" localSheetId="5">#REF!</definedName>
    <definedName name="plaine">'Données générales'!#REF!</definedName>
    <definedName name="po_eng">'Données générales'!$R$129:$T$129</definedName>
    <definedName name="quant_a">'Données générales'!$W$52</definedName>
    <definedName name="quant_b" localSheetId="5">#REF!</definedName>
    <definedName name="quant_b">'Données générales'!#REF!</definedName>
    <definedName name="quant_c">'Données générales'!$W$53</definedName>
    <definedName name="rem_engr">'Données générales'!$R$119:$W$119</definedName>
    <definedName name="solver_opt" localSheetId="0" hidden="1">'Données générales'!$K$10</definedName>
    <definedName name="surf_a" localSheetId="5">#REF!</definedName>
    <definedName name="surf_a">'Données générales'!#REF!</definedName>
    <definedName name="surf_b">'Données générales'!$U$63</definedName>
    <definedName name="surf_c">'Données générales'!$U$64</definedName>
    <definedName name="Taureau">'Données générales'!$R$112:$W$112</definedName>
    <definedName name="teneur_1">'Données générales'!$R$38</definedName>
    <definedName name="teneur_10">'Données générales'!$R$47</definedName>
    <definedName name="teneur_11">'Données générales'!$R$48</definedName>
    <definedName name="teneur_12">'Données générales'!$R$49</definedName>
    <definedName name="teneur_13">'Données générales'!$R$50</definedName>
    <definedName name="teneur_14">'Données générales'!$R$52</definedName>
    <definedName name="teneur_15" localSheetId="5">#REF!</definedName>
    <definedName name="teneur_15">'Données générales'!#REF!</definedName>
    <definedName name="teneur_16">'Données générales'!$R$53</definedName>
    <definedName name="teneur_2">'Données générales'!$R$39</definedName>
    <definedName name="teneur_3">'Données générales'!$R$40</definedName>
    <definedName name="teneur_4">'Données générales'!$R$41</definedName>
    <definedName name="teneur_5">'Données générales'!$R$42</definedName>
    <definedName name="teneur_6">'Données générales'!$R$43</definedName>
    <definedName name="teneur_7">'Données générales'!$R$44</definedName>
    <definedName name="teneur_8">'Données générales'!$R$45</definedName>
    <definedName name="teneur_9">'Données générales'!$R$46</definedName>
    <definedName name="total3.1">'[1]page 3'!$K$31</definedName>
    <definedName name="total3.2">'[1]page 3'!$K$46</definedName>
    <definedName name="total3.3" localSheetId="7">'calculs selon gelan'!#REF!</definedName>
    <definedName name="total3.3" localSheetId="5">#REF!</definedName>
    <definedName name="total3.3">'Fosse+fumière'!#REF!</definedName>
    <definedName name="total3.4" localSheetId="7">'calculs selon gelan'!#REF!</definedName>
    <definedName name="total3.4" localSheetId="5">#REF!</definedName>
    <definedName name="total3.4">'Fosse+fumière'!#REF!</definedName>
    <definedName name="total6.1" localSheetId="5">'[4]Eaux usées + volume total'!$J$46</definedName>
    <definedName name="total6.1">'[2]Eaux usées + volume total'!$J$46</definedName>
    <definedName name="total6.3">'Effectifs bétail'!$C$7</definedName>
    <definedName name="truie">'Données générales'!$R$131:$T$131</definedName>
    <definedName name="UGB" localSheetId="5">#REF!,#REF!,#REF!,#REF!,#REF!,#REF!,#REF!,#REF!,#REF!,#REF!,#REF!</definedName>
    <definedName name="UGB">'Données générales'!$D$49,'Données générales'!$G$49,'Données générales'!#REF!,'Données générales'!$B$53,'Données générales'!$F$53,'Données générales'!$K$53,'Données générales'!$N$53,'Données générales'!$F$54,'Données générales'!$G$56,'Données générales'!$M$57,'Données générales'!$D$57</definedName>
    <definedName name="va">'Données générales'!$R$110:$W$110</definedName>
    <definedName name="va_mere">'Données générales'!$R$111:$W$111</definedName>
    <definedName name="veau_blanc">'Données générales'!$R$117:$W$117</definedName>
    <definedName name="veau_el">'Données générales'!$R$116:$W$116</definedName>
    <definedName name="verrat">'Données générales'!$R$130:$T$130</definedName>
    <definedName name="volume.tot.fosse" localSheetId="5">'[4]Données de base'!$O$30</definedName>
    <definedName name="volume.tot.fosse">'[2]Données de base'!$O$30</definedName>
    <definedName name="zone">'Données générales'!#REF!</definedName>
    <definedName name="_xlnm.Print_Area" localSheetId="1">'Bâtiments'!$A$1:$H$55</definedName>
    <definedName name="_xlnm.Print_Area" localSheetId="2">'Bétail et systèmes de garde'!$A$1:$J$65</definedName>
    <definedName name="_xlnm.Print_Area" localSheetId="7">'calculs selon gelan'!$A$1:$I$62</definedName>
    <definedName name="_xlnm.Print_Area" localSheetId="0">'Données générales'!$A$1:$O$65</definedName>
    <definedName name="_xlnm.Print_Area" localSheetId="3">'Effectifs bétail'!$A$1:$I$54</definedName>
    <definedName name="_xlnm.Print_Area" localSheetId="4">'Fosse+fumière'!$A$1:$I$67</definedName>
    <definedName name="_xlnm.Print_Area" localSheetId="5">'Fourrages'!$A$1:$N$49</definedName>
  </definedNames>
  <calcPr fullCalcOnLoad="1"/>
</workbook>
</file>

<file path=xl/comments6.xml><?xml version="1.0" encoding="utf-8"?>
<comments xmlns="http://schemas.openxmlformats.org/spreadsheetml/2006/main">
  <authors>
    <author>Samuel Joray</author>
  </authors>
  <commentList>
    <comment ref="P9" authorId="0">
      <text>
        <r>
          <rPr>
            <b/>
            <sz val="8"/>
            <rFont val="Tahoma"/>
            <family val="0"/>
          </rPr>
          <t>Effacer les lignes de cette page que vous n'utilisez pas, afin de n'imprimer que ce qui est utile à l'agriculteur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 I E F</author>
  </authors>
  <commentList>
    <comment ref="F34" authorId="0">
      <text>
        <r>
          <rPr>
            <b/>
            <sz val="8"/>
            <rFont val="Tahoma"/>
            <family val="0"/>
          </rPr>
          <t>0.6 m3 * 3 séries annuelles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<sst xmlns="http://schemas.openxmlformats.org/spreadsheetml/2006/main" count="883" uniqueCount="545">
  <si>
    <t>Expertise du:</t>
  </si>
  <si>
    <t>Raccordable  STEP:</t>
  </si>
  <si>
    <t>Immeuble n°:</t>
  </si>
  <si>
    <t>Nom local:</t>
  </si>
  <si>
    <t>Zone/CPA:</t>
  </si>
  <si>
    <t>Coordonnées:</t>
  </si>
  <si>
    <t>/</t>
  </si>
  <si>
    <t>Altitude:</t>
  </si>
  <si>
    <t>Carte topographique 1:25'000 :</t>
  </si>
  <si>
    <t>Zone à bâtir:</t>
  </si>
  <si>
    <t>oui/non</t>
  </si>
  <si>
    <t>Genre:</t>
  </si>
  <si>
    <t>Propriétaire/Maître de l'ouvrage:</t>
  </si>
  <si>
    <t>Né en :</t>
  </si>
  <si>
    <t>Adresse:</t>
  </si>
  <si>
    <t>NP/Localité:</t>
  </si>
  <si>
    <t>Situation familiale:</t>
  </si>
  <si>
    <t>Enfants:</t>
  </si>
  <si>
    <t>Tél:</t>
  </si>
  <si>
    <t>N° d'exploitant (PID)</t>
  </si>
  <si>
    <t xml:space="preserve">E-Mail: </t>
  </si>
  <si>
    <t>Exploitant :</t>
  </si>
  <si>
    <t xml:space="preserve">Dossier traité par: </t>
  </si>
  <si>
    <t>Instance:</t>
  </si>
  <si>
    <t>Présent:</t>
  </si>
  <si>
    <t xml:space="preserve">Date: </t>
  </si>
  <si>
    <t>GRANDEUR DE L'EXPLOITATION :</t>
  </si>
  <si>
    <t>Terrain en propre:</t>
  </si>
  <si>
    <t>ha</t>
  </si>
  <si>
    <t>dont en zone à bâtir:</t>
  </si>
  <si>
    <t>Terrain affermé:</t>
  </si>
  <si>
    <t>dont assuré à long terme:</t>
  </si>
  <si>
    <t>Total SAU:</t>
  </si>
  <si>
    <t>dont en terres ouvertes:</t>
  </si>
  <si>
    <t>Surfaces impropres (protection):</t>
  </si>
  <si>
    <t>Surfaces faisant l'objet de</t>
  </si>
  <si>
    <t>* * Contrat de reprise:</t>
  </si>
  <si>
    <t xml:space="preserve">  contrat de reprise/remise: * *</t>
  </si>
  <si>
    <t>Lisier de porcs:</t>
  </si>
  <si>
    <t>Fumier de volaille:</t>
  </si>
  <si>
    <r>
      <t>m</t>
    </r>
    <r>
      <rPr>
        <vertAlign val="superscript"/>
        <sz val="10"/>
        <rFont val="MS Sans Serif"/>
        <family val="2"/>
      </rPr>
      <t>3</t>
    </r>
  </si>
  <si>
    <t>Total surface d'épandage :</t>
  </si>
  <si>
    <t>Fumier de cheval:</t>
  </si>
  <si>
    <t>SAU + alpage:</t>
  </si>
  <si>
    <t>Forêts :</t>
  </si>
  <si>
    <t>DONNEES DE L'EXPLOITATION :</t>
  </si>
  <si>
    <t xml:space="preserve">Lait: </t>
  </si>
  <si>
    <t>Elevage:</t>
  </si>
  <si>
    <t>Engraissement:</t>
  </si>
  <si>
    <t>Zone d'ensilage:</t>
  </si>
  <si>
    <t>Silos raccordés à la fosse:</t>
  </si>
  <si>
    <t>Autres éléments de production:</t>
  </si>
  <si>
    <t>Contingent laitier:</t>
  </si>
  <si>
    <t>Durée de l'affouragement hivernal:</t>
  </si>
  <si>
    <t>jours</t>
  </si>
  <si>
    <t xml:space="preserve">Fumier: </t>
  </si>
  <si>
    <t xml:space="preserve"> Purin :</t>
  </si>
  <si>
    <t>Etat du rural et de l'habitation / Assainissement projeté:</t>
  </si>
  <si>
    <t>RURAL ET AUTRE BATIMENT EN PROPRIETE:</t>
  </si>
  <si>
    <t>BATIMENT EN LOCATION (description, coordonnées, propriétaire):</t>
  </si>
  <si>
    <t>HABITATION:</t>
  </si>
  <si>
    <t>Nombre de chambres par étages et/ou par appartement:</t>
  </si>
  <si>
    <t>Appart./Etage</t>
  </si>
  <si>
    <t>Chambre 
à coucher</t>
  </si>
  <si>
    <t>Salons</t>
  </si>
  <si>
    <t>Cuisines</t>
  </si>
  <si>
    <t>Salles de bain
WC</t>
  </si>
  <si>
    <t>Eaux usées ménagères</t>
  </si>
  <si>
    <t>EH***</t>
  </si>
  <si>
    <t xml:space="preserve">conditions normales       </t>
  </si>
  <si>
    <t xml:space="preserve">installations simples       </t>
  </si>
  <si>
    <t xml:space="preserve">cas particuliers             </t>
  </si>
  <si>
    <t>Mur coupe-feu:</t>
  </si>
  <si>
    <t>Transformations envisagées:</t>
  </si>
  <si>
    <t xml:space="preserve">Remarques complémentaires: </t>
  </si>
  <si>
    <t>Avenir de l'exploitation:</t>
  </si>
  <si>
    <t>Fosse à purin:</t>
  </si>
  <si>
    <t>Année de
constrution</t>
  </si>
  <si>
    <t>Volume</t>
  </si>
  <si>
    <t xml:space="preserve">Matériaux
béton coulé, préfabriqué, métal, autre … </t>
  </si>
  <si>
    <t>Bovins</t>
  </si>
  <si>
    <t>Place</t>
  </si>
  <si>
    <t>Coefficient F</t>
  </si>
  <si>
    <t>UGBF</t>
  </si>
  <si>
    <t>Total places resp. UGBF</t>
  </si>
  <si>
    <t>Porcs</t>
  </si>
  <si>
    <t>PPE</t>
  </si>
  <si>
    <t>Total places resp UGBF et PPE</t>
  </si>
  <si>
    <t>Volaille</t>
  </si>
  <si>
    <t>PP</t>
  </si>
  <si>
    <t>Dindes à l'engrais</t>
  </si>
  <si>
    <t>Autruches de plus de 13 mois</t>
  </si>
  <si>
    <t>Total places resp UGBF et PP</t>
  </si>
  <si>
    <t>Chèvres, moutons, chevaux</t>
  </si>
  <si>
    <t>Chevaux de plus de 3 ans</t>
  </si>
  <si>
    <t>Chevaux de moins de 3 ans</t>
  </si>
  <si>
    <t>Mulets et bardots</t>
  </si>
  <si>
    <t>Poneys, ânes et petits chevaux</t>
  </si>
  <si>
    <t>Autres brebis</t>
  </si>
  <si>
    <t>Total UGBF</t>
  </si>
  <si>
    <t>Déduction pour l'absence durant l'estivage:</t>
  </si>
  <si>
    <t xml:space="preserve">UGBF x </t>
  </si>
  <si>
    <t>jours : 365  =</t>
  </si>
  <si>
    <t>Total UGBF épurés</t>
  </si>
  <si>
    <t>Charge en UGBF/ha (sans l'alpage):</t>
  </si>
  <si>
    <t>Production d'engrais de ferme et eaux usées</t>
  </si>
  <si>
    <t>Type d'animaux</t>
  </si>
  <si>
    <t>Unité</t>
  </si>
  <si>
    <t>Nombre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</si>
  <si>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
Unité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</si>
  <si>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</si>
  <si>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
Unité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</si>
  <si>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/Unité</t>
    </r>
  </si>
  <si>
    <t xml:space="preserve">Bovins                                               </t>
  </si>
  <si>
    <t xml:space="preserve">stabulat. libre couche profonde intégrale  </t>
  </si>
  <si>
    <t xml:space="preserve">stabulat. libre avec aire d'affouragement   </t>
  </si>
  <si>
    <t xml:space="preserve">stabulat. libre à plusieurs secteurs           </t>
  </si>
  <si>
    <t xml:space="preserve">stabulat. libre sur plan incliné paillé            </t>
  </si>
  <si>
    <t xml:space="preserve">logettes (fond bétonné ou caillebotis)         </t>
  </si>
  <si>
    <t xml:space="preserve">caillebotis; aire de repos                              </t>
  </si>
  <si>
    <t>stabulation libre avec litière</t>
  </si>
  <si>
    <t xml:space="preserve">litière profonde ou boxes                          </t>
  </si>
  <si>
    <t xml:space="preserve">écurie en long avec litière                        </t>
  </si>
  <si>
    <t>Production annuelle de purin non dilué</t>
  </si>
  <si>
    <t xml:space="preserve">Volaille                                                   </t>
  </si>
  <si>
    <t xml:space="preserve">volière avec couloir de déjection </t>
  </si>
  <si>
    <t>100 PP</t>
  </si>
  <si>
    <t>grillage incliné ou caisse à crottes</t>
  </si>
  <si>
    <t>élevage sur litière profonde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</si>
  <si>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/unité</t>
    </r>
  </si>
  <si>
    <r>
      <t>m</t>
    </r>
    <r>
      <rPr>
        <vertAlign val="superscript"/>
        <sz val="10"/>
        <rFont val="Arial"/>
        <family val="2"/>
      </rPr>
      <t>3</t>
    </r>
  </si>
  <si>
    <t>FOSSE A PURIN:</t>
  </si>
  <si>
    <t>Volume nécessaire pour</t>
  </si>
  <si>
    <t>mois de stockage</t>
  </si>
  <si>
    <r>
      <t>Volume à construire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):</t>
    </r>
  </si>
  <si>
    <t>Le soussigné atteste l'exactitude des données fournies ci-desus</t>
  </si>
  <si>
    <t>Lieu et date: _____________________________</t>
  </si>
  <si>
    <t>Signature: __________________________</t>
  </si>
  <si>
    <t>profonde</t>
  </si>
  <si>
    <t>Nombre de places disponibles</t>
  </si>
  <si>
    <t>caillebotis partiel</t>
  </si>
  <si>
    <t>litière et couloir</t>
  </si>
  <si>
    <t>Stabu. libre à</t>
  </si>
  <si>
    <t xml:space="preserve">Détention </t>
  </si>
  <si>
    <t>ou intégral; aire</t>
  </si>
  <si>
    <t>en plein air</t>
  </si>
  <si>
    <t xml:space="preserve">de repos et couloir </t>
  </si>
  <si>
    <t>profonde avec</t>
  </si>
  <si>
    <t>ou autre</t>
  </si>
  <si>
    <t>de déjection</t>
  </si>
  <si>
    <t>(front ouvert)</t>
  </si>
  <si>
    <t>(lisier complet)</t>
  </si>
  <si>
    <t>(fumier)</t>
  </si>
  <si>
    <t>Volière avec couloir</t>
  </si>
  <si>
    <t>Poulailler avec</t>
  </si>
  <si>
    <t xml:space="preserve">Elevage sur litière </t>
  </si>
  <si>
    <t>Détention</t>
  </si>
  <si>
    <t>grillage incliné ou</t>
  </si>
  <si>
    <t>Détention en plein air</t>
  </si>
  <si>
    <t>m</t>
  </si>
  <si>
    <t>Fax:</t>
  </si>
  <si>
    <r>
      <t>Surface m</t>
    </r>
    <r>
      <rPr>
        <vertAlign val="superscript"/>
        <sz val="10"/>
        <rFont val="Arial"/>
        <family val="2"/>
      </rPr>
      <t>2</t>
    </r>
  </si>
  <si>
    <t xml:space="preserve">Total: </t>
  </si>
  <si>
    <t>Fumier</t>
  </si>
  <si>
    <t>Purin</t>
  </si>
  <si>
    <t>Réservé aux AF</t>
  </si>
  <si>
    <t xml:space="preserve">Eaux usées ménagères </t>
  </si>
  <si>
    <t>Production totale de lisier et d'eaux usées:</t>
  </si>
  <si>
    <t>Surface nécessaire pour 6 mois:…………...…... :2=</t>
  </si>
  <si>
    <r>
      <t>Volume existant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):…..</t>
    </r>
  </si>
  <si>
    <t>……………………………..</t>
  </si>
  <si>
    <t>Facteur 
UGBF</t>
  </si>
  <si>
    <t>Total PP</t>
  </si>
  <si>
    <t>caisse à crottes 
(élevage au sol)</t>
  </si>
  <si>
    <t xml:space="preserve">Aires de promenades bétonnées: </t>
  </si>
  <si>
    <t xml:space="preserve">Total eaux usées: </t>
  </si>
  <si>
    <t>Fumières et silos tranchée:</t>
  </si>
  <si>
    <t>Hauteur du 
tas*</t>
  </si>
  <si>
    <t>*hauteur du tas uniquement pour fumières si celle-ci dépasse 1.50</t>
  </si>
  <si>
    <t>de déjection, litière</t>
  </si>
  <si>
    <t>aire d'affouragem.</t>
  </si>
  <si>
    <t>litière  profonde</t>
  </si>
  <si>
    <t>Effectif maximal d'animaux pour chaque systèmes de garde (dans le rural et autres bâtiments, y c. extension future)</t>
  </si>
  <si>
    <t xml:space="preserve"> : 100</t>
  </si>
  <si>
    <t xml:space="preserve">Porcs                                             </t>
  </si>
  <si>
    <t>écurie en long avec litière</t>
  </si>
  <si>
    <t xml:space="preserve"> </t>
  </si>
  <si>
    <t>mixte fumier</t>
  </si>
  <si>
    <t>mixte purin</t>
  </si>
  <si>
    <t>Bisons  &gt; 3 ans</t>
  </si>
  <si>
    <t>Bisons  jusqu'à 3 ans</t>
  </si>
  <si>
    <t>Lamas</t>
  </si>
  <si>
    <t>Divers</t>
  </si>
  <si>
    <t>Surface de fumière par catégorie d'animaux en m² / an</t>
  </si>
  <si>
    <t>Volaille      (pour 100 PP)</t>
  </si>
  <si>
    <t xml:space="preserve">Nbre </t>
  </si>
  <si>
    <t>Chevaux</t>
  </si>
  <si>
    <t>Moutons, chèvres, …</t>
  </si>
  <si>
    <t>Surfaces de fumières d'après OFEFP 1994</t>
  </si>
  <si>
    <t>Type d'animaux-système</t>
  </si>
  <si>
    <t>de garde</t>
  </si>
  <si>
    <t>production</t>
  </si>
  <si>
    <t>en t/an</t>
  </si>
  <si>
    <t>de stockage</t>
  </si>
  <si>
    <t>à la main</t>
  </si>
  <si>
    <t>piston</t>
  </si>
  <si>
    <t>à chaîne</t>
  </si>
  <si>
    <t>Paille avec rigole</t>
  </si>
  <si>
    <t>anc. Étable de montagne</t>
  </si>
  <si>
    <t>Bovins /UGBF</t>
  </si>
  <si>
    <t>Chevaux /UGBF</t>
  </si>
  <si>
    <t>boxes</t>
  </si>
  <si>
    <t>litière avec couloir; couche profonde
et aire d'affouragement (princ. fumier)</t>
  </si>
  <si>
    <t>et caillebotis</t>
  </si>
  <si>
    <t>(princ. purin)</t>
  </si>
  <si>
    <t xml:space="preserve"> évacuateur à chaîne:      oui/non ………….x 1.33</t>
  </si>
  <si>
    <t>Surface totale calculée par an:</t>
  </si>
  <si>
    <t>purin</t>
  </si>
  <si>
    <t>fumier</t>
  </si>
  <si>
    <t>Porcs                 (par PPE)</t>
  </si>
  <si>
    <t>Facteur
 UGBF</t>
  </si>
  <si>
    <t>Longueur*largeur*profondeur
diamètre*profondeur</t>
  </si>
  <si>
    <t xml:space="preserve"> piston:                            oui/non ………….x 1.5</t>
  </si>
  <si>
    <t>N° unité de production:</t>
  </si>
  <si>
    <t>NP / Commune:</t>
  </si>
  <si>
    <t>PROJET:</t>
  </si>
  <si>
    <t>Examen préalable N°:</t>
  </si>
  <si>
    <t>E-Mail:</t>
  </si>
  <si>
    <t xml:space="preserve">Objet de la demande: </t>
  </si>
  <si>
    <t xml:space="preserve"> * * Contrat de remise:</t>
  </si>
  <si>
    <t>Si oui</t>
  </si>
  <si>
    <t>selon projet:</t>
  </si>
  <si>
    <t>INSTALLATIONS DE STOCKAGE EXISTANTES</t>
  </si>
  <si>
    <t>Matériaux
radier en béton, à même le sol, autre</t>
  </si>
  <si>
    <t>Longueur * Largeur</t>
  </si>
  <si>
    <t>Chevaux, moutons, chèvres</t>
  </si>
  <si>
    <t>Surface existante:</t>
  </si>
  <si>
    <t xml:space="preserve">lisier flottant et caillebotis                           </t>
  </si>
  <si>
    <t xml:space="preserve">rigoles avec ou sans évacuateur             </t>
  </si>
  <si>
    <t xml:space="preserve">anc. étables de montagne ou rigole           </t>
  </si>
  <si>
    <t>Surface à construire:</t>
  </si>
  <si>
    <t>Bovins              (par UGBF)</t>
  </si>
  <si>
    <t xml:space="preserve">Evacuation: </t>
  </si>
  <si>
    <t>Poules pondeuses</t>
  </si>
  <si>
    <t>Poulettes</t>
  </si>
  <si>
    <t>Poulets à l'engrais</t>
  </si>
  <si>
    <t>Verrats reproducteur</t>
  </si>
  <si>
    <t>aire paillée partielle</t>
  </si>
  <si>
    <t>BATIMENTS EXISTANTS:</t>
  </si>
  <si>
    <t xml:space="preserve">Bâtiments existants utilisés: </t>
  </si>
  <si>
    <t xml:space="preserve">si oui: </t>
  </si>
  <si>
    <t xml:space="preserve">Préciser la nouvelle affectation des anciennes écuries: </t>
  </si>
  <si>
    <t>nbre de places:</t>
  </si>
  <si>
    <t>système de garde:</t>
  </si>
  <si>
    <t>Brebis laitières</t>
  </si>
  <si>
    <t>Chèvres laitières</t>
  </si>
  <si>
    <t>6 mois  (quel que soit l'altitude de l'exploitation)</t>
  </si>
  <si>
    <t>Auteur:</t>
  </si>
  <si>
    <t>Vaches laitières</t>
  </si>
  <si>
    <t>Génisses d'élevage jusqu'à 1 année</t>
  </si>
  <si>
    <t>veaux de vaches mères ou nourrices</t>
  </si>
  <si>
    <t>Veaux à l'engrais, 50 -175 kg</t>
  </si>
  <si>
    <t>Veaux, 50 - 125 kg</t>
  </si>
  <si>
    <t>Bovins à l'engrais</t>
  </si>
  <si>
    <t>Juments avec poulain</t>
  </si>
  <si>
    <t xml:space="preserve">                          Type d'eaux usées</t>
  </si>
  <si>
    <r>
      <t>FUMIERE:</t>
    </r>
    <r>
      <rPr>
        <sz val="10"/>
        <rFont val="Arial"/>
        <family val="2"/>
      </rPr>
      <t xml:space="preserve">                                      surface totale nécessaire par an                 </t>
    </r>
  </si>
  <si>
    <t>Génisses d'élevage, taureaux 2-3 ans</t>
  </si>
  <si>
    <t>Génisses d'élevage, taureaux 1-2 ans</t>
  </si>
  <si>
    <t xml:space="preserve">Né en:     </t>
  </si>
  <si>
    <t xml:space="preserve">Natel: </t>
  </si>
  <si>
    <t>Vérifié: _________________________________</t>
  </si>
  <si>
    <t>Signature: _____________________________</t>
  </si>
  <si>
    <t xml:space="preserve">Daims </t>
  </si>
  <si>
    <t>Cerfs</t>
  </si>
  <si>
    <t>aire paillée partielle (princ. purin)</t>
  </si>
  <si>
    <t xml:space="preserve">Surface en m2 </t>
  </si>
  <si>
    <t>stabulations libres</t>
  </si>
  <si>
    <t>couche profonde intégrale</t>
  </si>
  <si>
    <r>
      <t>Volume existant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</si>
  <si>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 à construire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</si>
  <si>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Production totale de lisier et d'eaux usées</t>
  </si>
  <si>
    <t>FOSSE A PURIN :</t>
  </si>
  <si>
    <r>
      <t>Surface à construire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</si>
  <si>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UGB</t>
  </si>
  <si>
    <t>x</t>
  </si>
  <si>
    <t>=</t>
  </si>
  <si>
    <t>Fourrage</t>
  </si>
  <si>
    <t>% de ration</t>
  </si>
  <si>
    <t>Densité</t>
  </si>
  <si>
    <t>Ensilage de maïs</t>
  </si>
  <si>
    <t>Ensilage d'herbe</t>
  </si>
  <si>
    <t>Foin de séchoir</t>
  </si>
  <si>
    <t>Total</t>
  </si>
  <si>
    <t>Volume de stockage des concentrés</t>
  </si>
  <si>
    <t>Céréales</t>
  </si>
  <si>
    <t>t</t>
  </si>
  <si>
    <t>Concentrés</t>
  </si>
  <si>
    <t>Volume de stockage de la paille (bovins et porcs)</t>
  </si>
  <si>
    <t>avec grille (lisier)</t>
  </si>
  <si>
    <t>UGB     x</t>
  </si>
  <si>
    <t>0 à 0.5</t>
  </si>
  <si>
    <t>kg/jour</t>
  </si>
  <si>
    <t>avec évacuateur</t>
  </si>
  <si>
    <t>3 à 5</t>
  </si>
  <si>
    <t>en logettes</t>
  </si>
  <si>
    <t>0 à 2</t>
  </si>
  <si>
    <t>5 à 7</t>
  </si>
  <si>
    <t>8 à 11</t>
  </si>
  <si>
    <t>TOTAL</t>
  </si>
  <si>
    <t>VOLUME TOTAL</t>
  </si>
  <si>
    <r>
      <t>kg MS/m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</si>
  <si>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</si>
  <si>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</si>
  <si>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 stockage</t>
    </r>
  </si>
  <si>
    <t>Betteraves, pdt</t>
  </si>
  <si>
    <t>180-240</t>
  </si>
  <si>
    <t>195-255</t>
  </si>
  <si>
    <t>80-90</t>
  </si>
  <si>
    <r>
      <t>standard kg/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MS de stockage</t>
    </r>
  </si>
  <si>
    <t>125-140</t>
  </si>
  <si>
    <t>standard kg/jour</t>
  </si>
  <si>
    <t>Colonne non-imprimée</t>
  </si>
  <si>
    <t>Foin balles rondes</t>
  </si>
  <si>
    <t>couche profonde + aire affouragement</t>
  </si>
  <si>
    <t>dt MS</t>
  </si>
  <si>
    <t>kg MS x</t>
  </si>
  <si>
    <t>Consom. totale [dt]</t>
  </si>
  <si>
    <t>1.</t>
  </si>
  <si>
    <t>2.</t>
  </si>
  <si>
    <t>3.</t>
  </si>
  <si>
    <t>4.</t>
  </si>
  <si>
    <t>Volume de stockage pour les vaches (réserve 10% comprise)</t>
  </si>
  <si>
    <t>Volume de stockage pour le jeune bétail et les bêtes à l'engrais (réserve 10% comprise)</t>
  </si>
  <si>
    <r>
      <t>m</t>
    </r>
    <r>
      <rPr>
        <b/>
        <vertAlign val="superscript"/>
        <sz val="10"/>
        <rFont val="Arial"/>
        <family val="2"/>
      </rPr>
      <t>3</t>
    </r>
  </si>
  <si>
    <t>Volume de stockage du fourrage et de la paille</t>
  </si>
  <si>
    <t>FUMIERE POUR 6 MOIS :</t>
  </si>
  <si>
    <t>surface nécessaire pour couche profonde</t>
  </si>
  <si>
    <t>surface nécessaire totale</t>
  </si>
  <si>
    <t>couche profonde</t>
  </si>
  <si>
    <r>
      <t>surface existante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</si>
  <si>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
unité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</si>
  <si>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
unité</t>
    </r>
  </si>
  <si>
    <t xml:space="preserve">DUREES DE STOCKAGE ET OPTIONS DE CALCULS: </t>
  </si>
  <si>
    <t xml:space="preserve">Calcul pour: </t>
  </si>
  <si>
    <t>Exploitation agricole traditionnelle</t>
  </si>
  <si>
    <t>Prise en charge du lisier par contrats de reprise: majoration 1 mois supplémentaire</t>
  </si>
  <si>
    <t>Chalets d'alpage: 3 semaines de stockage</t>
  </si>
  <si>
    <t>box à chevaux</t>
  </si>
  <si>
    <t>Eaux usées ménagères (page 2)</t>
  </si>
  <si>
    <t>Le soussigné atteste l'exactitude des données fournies ci-dessus.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</si>
  <si>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EH / an</t>
    </r>
  </si>
  <si>
    <t>évacuation manuelle</t>
  </si>
  <si>
    <t>élévateur à fumier</t>
  </si>
  <si>
    <t>piston (taupinière)</t>
  </si>
  <si>
    <t>surface nécessaire sans couche prof.</t>
  </si>
  <si>
    <t>fosse à purin</t>
  </si>
  <si>
    <t>STEP</t>
  </si>
  <si>
    <t>fosse digestive (3 comp.)</t>
  </si>
  <si>
    <t>fosse septique</t>
  </si>
  <si>
    <t>autre</t>
  </si>
  <si>
    <r>
      <t xml:space="preserve">Total </t>
    </r>
    <r>
      <rPr>
        <sz val="10"/>
        <rFont val="Arial"/>
        <family val="2"/>
      </rPr>
      <t>à reporter p. 5, rubrique eaux usées ménagères:</t>
    </r>
  </si>
  <si>
    <t>cas particuliers</t>
  </si>
  <si>
    <t>Conditions</t>
  </si>
  <si>
    <t>EH à 50 à la fosse</t>
  </si>
  <si>
    <t>EH à 38 à la fosse</t>
  </si>
  <si>
    <t>EH à 20 à la fosse</t>
  </si>
  <si>
    <t>Raccordement</t>
  </si>
  <si>
    <t>cond. normales</t>
  </si>
  <si>
    <t>instal. simples</t>
  </si>
  <si>
    <t>stabulations entravées</t>
  </si>
  <si>
    <r>
      <t>Ensilage d'herbe et de maïs plante entière</t>
    </r>
    <r>
      <rPr>
        <b/>
        <vertAlign val="superscript"/>
        <sz val="12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 xml:space="preserve">kg </t>
    </r>
    <r>
      <rPr>
        <sz val="8"/>
        <color indexed="10"/>
        <rFont val="Arial"/>
        <family val="2"/>
      </rPr>
      <t>MF</t>
    </r>
    <r>
      <rPr>
        <b/>
        <sz val="8"/>
        <rFont val="Arial"/>
        <family val="2"/>
      </rPr>
      <t>/m3 d'ensilage avec</t>
    </r>
  </si>
  <si>
    <t>Hauteur tassée après récolte [m.]</t>
  </si>
  <si>
    <t>20% TS</t>
  </si>
  <si>
    <t>30% TS</t>
  </si>
  <si>
    <t>40% TS</t>
  </si>
  <si>
    <t>Densité des foins/regains en vrac</t>
  </si>
  <si>
    <t>-</t>
  </si>
  <si>
    <t>Hauteur tas en vrac [m]</t>
  </si>
  <si>
    <t>Humidité rentrée</t>
  </si>
  <si>
    <t>Stade fauche</t>
  </si>
  <si>
    <t>Densité MF</t>
  </si>
  <si>
    <t>Densité MS</t>
  </si>
  <si>
    <t>moyen</t>
  </si>
  <si>
    <t>Silo-tour</t>
  </si>
  <si>
    <t>moyen-tardif</t>
  </si>
  <si>
    <t>tardif</t>
  </si>
  <si>
    <t>4 à 5</t>
  </si>
  <si>
    <t xml:space="preserve">plus de 5 </t>
  </si>
  <si>
    <t>20 % MS</t>
  </si>
  <si>
    <t>30% MS</t>
  </si>
  <si>
    <t>40% MS</t>
  </si>
  <si>
    <r>
      <t>Silo tranchée</t>
    </r>
    <r>
      <rPr>
        <sz val="10"/>
        <rFont val="Arial"/>
        <family val="0"/>
      </rPr>
      <t xml:space="preserve">
(tassement faible)</t>
    </r>
  </si>
  <si>
    <t>Autres fourrages</t>
  </si>
  <si>
    <r>
      <t>Densité kg MF/m</t>
    </r>
    <r>
      <rPr>
        <vertAlign val="superscript"/>
        <sz val="10"/>
        <rFont val="Arial"/>
        <family val="2"/>
      </rPr>
      <t>3</t>
    </r>
  </si>
  <si>
    <r>
      <t>Densité kg MS/m</t>
    </r>
    <r>
      <rPr>
        <b/>
        <vertAlign val="superscript"/>
        <sz val="10"/>
        <rFont val="Arial"/>
        <family val="2"/>
      </rPr>
      <t>3</t>
    </r>
  </si>
  <si>
    <t>Pdt en vrac</t>
  </si>
  <si>
    <t>650-700</t>
  </si>
  <si>
    <t>140-155</t>
  </si>
  <si>
    <t>Pdt ensilées</t>
  </si>
  <si>
    <t>Pdt en sac</t>
  </si>
  <si>
    <r>
      <t>Silo tranchée</t>
    </r>
    <r>
      <rPr>
        <sz val="10"/>
        <rFont val="Arial"/>
        <family val="0"/>
      </rPr>
      <t xml:space="preserve">
(tassement moyen)</t>
    </r>
  </si>
  <si>
    <t>Pdt en flocons</t>
  </si>
  <si>
    <t>Bett. four.</t>
  </si>
  <si>
    <t>Bett. sucr.</t>
  </si>
  <si>
    <t>Feuilles bett ensil</t>
  </si>
  <si>
    <t>Pulpes bett press. 18% MS</t>
  </si>
  <si>
    <t>550-600</t>
  </si>
  <si>
    <t>100-110</t>
  </si>
  <si>
    <r>
      <t>Silo tranchée</t>
    </r>
    <r>
      <rPr>
        <sz val="10"/>
        <rFont val="Arial"/>
        <family val="2"/>
      </rPr>
      <t xml:space="preserve"> (tassement élevé)</t>
    </r>
  </si>
  <si>
    <t>Pulpes bett pellets 90% MS</t>
  </si>
  <si>
    <t>500-600</t>
  </si>
  <si>
    <t>450-540</t>
  </si>
  <si>
    <t>Drêches brasserie humides</t>
  </si>
  <si>
    <t>700-800</t>
  </si>
  <si>
    <t>155-175</t>
  </si>
  <si>
    <r>
      <t>1</t>
    </r>
    <r>
      <rPr>
        <sz val="10"/>
        <rFont val="Arial"/>
        <family val="2"/>
      </rPr>
      <t xml:space="preserve"> L'ensilage de maïs a une densité supérieure à l'herbe d'environ 50 kg MF/m</t>
    </r>
    <r>
      <rPr>
        <vertAlign val="superscript"/>
        <sz val="10"/>
        <rFont val="Arial"/>
        <family val="2"/>
      </rPr>
      <t>3</t>
    </r>
  </si>
  <si>
    <t>Consommation des vaches laitières</t>
  </si>
  <si>
    <t>base :</t>
  </si>
  <si>
    <t>vache pesant 650 kg, produisant 6500 kg lait/an,</t>
  </si>
  <si>
    <t>25 % premières lactations, vêlages sur toute l'année</t>
  </si>
  <si>
    <r>
      <t>Æ</t>
    </r>
    <r>
      <rPr>
        <sz val="9"/>
        <rFont val="Arial"/>
        <family val="2"/>
      </rPr>
      <t xml:space="preserve"> teneur fourrage d'hiver:</t>
    </r>
  </si>
  <si>
    <t>5.8 MJ NEL/kg MS *)</t>
  </si>
  <si>
    <r>
      <t>Æ</t>
    </r>
    <r>
      <rPr>
        <sz val="9"/>
        <rFont val="Arial"/>
        <family val="2"/>
      </rPr>
      <t xml:space="preserve"> tenur fourrage d'été:</t>
    </r>
  </si>
  <si>
    <t>6.3 MJ NEL/kg MS *)</t>
  </si>
  <si>
    <t>*) Correction NEL: ± 0.3 kg MS par ± 0.1 MJ NEL d'écart par rapport à  5.6 MJ NEL</t>
  </si>
  <si>
    <t>Poids vif moyen</t>
  </si>
  <si>
    <t>kg</t>
  </si>
  <si>
    <t>Production Ø</t>
  </si>
  <si>
    <t>kg lait/VL/an</t>
  </si>
  <si>
    <t>correction</t>
  </si>
  <si>
    <t>hiver</t>
  </si>
  <si>
    <t>été</t>
  </si>
  <si>
    <t>kg MS</t>
  </si>
  <si>
    <r>
      <t>Æ</t>
    </r>
    <r>
      <rPr>
        <sz val="9"/>
        <rFont val="Arial"/>
        <family val="2"/>
      </rPr>
      <t xml:space="preserve"> consommation de fourrage grossier par jour de l'année</t>
    </r>
  </si>
  <si>
    <t>par 100 kg de quantité annuelle de lait &lt; 6500 kg</t>
  </si>
  <si>
    <t xml:space="preserve"> - 0.1</t>
  </si>
  <si>
    <t>par ± 10 kg PV d'écart p.r. à 650 kg PV</t>
  </si>
  <si>
    <t>± 0.1</t>
  </si>
  <si>
    <t>avec betteraves fourragères ou pommes de terre</t>
  </si>
  <si>
    <t>jusqu'à + 0.3</t>
  </si>
  <si>
    <t>technique d'affourag. (ordre districution, accès libre, restes crèche)</t>
  </si>
  <si>
    <t>qualité des fourrages</t>
  </si>
  <si>
    <t>jusqu'à - 1.0</t>
  </si>
  <si>
    <t>pas de concentré</t>
  </si>
  <si>
    <t>jusqu'à + 1.0</t>
  </si>
  <si>
    <t>total, consommation de fourrages grossiers</t>
  </si>
  <si>
    <t>+ pertes à la crèche (env. 5%)</t>
  </si>
  <si>
    <t>total, utilisation de fourrages grossiers</t>
  </si>
  <si>
    <t>Bottes haute densité</t>
  </si>
  <si>
    <t>Balles rondes</t>
  </si>
  <si>
    <t>Balles rectangulaires 200/80/90</t>
  </si>
  <si>
    <t>Balles rectangulaires 240/120/70</t>
  </si>
  <si>
    <t>*  chambres à coucher et salons qui ne sont pas raccordés à la STEP ou dans une fosse digestive à 3 compartiments</t>
  </si>
  <si>
    <t>EH*</t>
  </si>
  <si>
    <t>Veaux pour engraissement (50-125 kg)</t>
  </si>
  <si>
    <t>Vaches mères/nourrices sans veau</t>
  </si>
  <si>
    <t>Place porc à l'engrais (PPE)</t>
  </si>
  <si>
    <t>surface [m2/an]</t>
  </si>
  <si>
    <t>surface [m2/an ]</t>
  </si>
  <si>
    <t>Fumière</t>
  </si>
  <si>
    <t>altitude (m) =</t>
  </si>
  <si>
    <t xml:space="preserve">           mois =</t>
  </si>
  <si>
    <t>&lt;600</t>
  </si>
  <si>
    <t>600-700</t>
  </si>
  <si>
    <t>800-900</t>
  </si>
  <si>
    <t>&gt;900</t>
  </si>
  <si>
    <t>Vaches mères ou nourrices sans veaux</t>
  </si>
  <si>
    <r>
      <t>Poids spécifique [t/m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]</t>
    </r>
  </si>
  <si>
    <t>Surface annuelle par UGB</t>
  </si>
  <si>
    <t>Hauteur du tas de fumier</t>
  </si>
  <si>
    <t>t fumier/an/UGBF</t>
  </si>
  <si>
    <t>1
100% lisier</t>
  </si>
  <si>
    <t>2
aire paillé partielle et caillebotis (BE: 1.7m3 et 0.2t/PPE/an)</t>
  </si>
  <si>
    <t>4
litière intégrale</t>
  </si>
  <si>
    <t>3
litière et couloir + aire aff.</t>
  </si>
  <si>
    <t>1
volière avec couloir</t>
  </si>
  <si>
    <t>2
grillage incliné ou caisse à crottes</t>
  </si>
  <si>
    <t>3
litière profonde</t>
  </si>
  <si>
    <t>1
couche profonde ou box</t>
  </si>
  <si>
    <t>2
Ecurie en long avec litière</t>
  </si>
  <si>
    <t>Besoin en surface par 100 PP</t>
  </si>
  <si>
    <t>t fumier/an/100 PP selon DBF01</t>
  </si>
  <si>
    <t>1
couche profonde avec pâturage</t>
  </si>
  <si>
    <t>Répartition des engrais de ferme</t>
  </si>
  <si>
    <t>Production fumier [t/an]</t>
  </si>
  <si>
    <t>litière avec couloir (princ. fumier)</t>
  </si>
  <si>
    <t>100%
fumier
surface/UGB</t>
  </si>
  <si>
    <t>Coeff. UGB</t>
  </si>
  <si>
    <t>Autres animaux en couche profonde</t>
  </si>
  <si>
    <t>brebis laitières</t>
  </si>
  <si>
    <t>autres brebis</t>
  </si>
  <si>
    <t>chèvres laitières</t>
  </si>
  <si>
    <t>couche profonde ou box</t>
  </si>
  <si>
    <t>Truies allaitantes</t>
  </si>
  <si>
    <t>Porcs à l'engrais et remonte élevage</t>
  </si>
  <si>
    <t>Truies (cycle complet) y.c. porcelets</t>
  </si>
  <si>
    <t>Porcs à l'engrais et remonte d'élevage</t>
  </si>
  <si>
    <t>Facteur 
DBF 01</t>
  </si>
  <si>
    <t>Total PPE (DBF01)</t>
  </si>
  <si>
    <t>Truies gestantes</t>
  </si>
  <si>
    <t>Porcelets sevrés jusqu'à 25 kg</t>
  </si>
  <si>
    <t>PROGRAMME DES VOLUMES</t>
  </si>
  <si>
    <t>jusqu'à + 2.0</t>
  </si>
  <si>
    <t xml:space="preserve">oui </t>
  </si>
  <si>
    <t>SEn</t>
  </si>
  <si>
    <t>lisier complet</t>
  </si>
  <si>
    <t>Purin et fumier</t>
  </si>
  <si>
    <t>Fumier et peu de purin</t>
  </si>
  <si>
    <t>Lisier complet</t>
  </si>
  <si>
    <t>Purin et peu de fumier</t>
  </si>
  <si>
    <t>50% purin et 50% fumier</t>
  </si>
  <si>
    <t>Fumier seul Couche profonde</t>
  </si>
  <si>
    <t>Fumier seul, couche profonde</t>
  </si>
  <si>
    <t xml:space="preserve">PPE
</t>
  </si>
  <si>
    <t>Citerne de refroidissement</t>
  </si>
  <si>
    <t>Traite directe</t>
  </si>
  <si>
    <t>Salle de traite ("Eaux blanches et vertes"): ≤ 8 PT</t>
  </si>
  <si>
    <t>Nettoyage des étables et soins</t>
  </si>
  <si>
    <t>Evacuation hydraulique du lisier</t>
  </si>
  <si>
    <t>Nettoyage des porcheries</t>
  </si>
  <si>
    <t>Nettoyage des poulaillers de pondeuses</t>
  </si>
  <si>
    <t>Nettoyage des poulaillers d'engraissement</t>
  </si>
  <si>
    <t>Ecoulement des fumières</t>
  </si>
  <si>
    <t>Aires de promenades bétonnées</t>
  </si>
  <si>
    <t>Fosses à ciel ouvert</t>
  </si>
  <si>
    <t>facteur</t>
  </si>
  <si>
    <t>Salle de traite ("Eaux blanches et vertes"): &gt; 8 PT ou Robot</t>
  </si>
  <si>
    <t>Chambre à lait</t>
  </si>
  <si>
    <t>si &gt; 125 soumis à RIE</t>
  </si>
  <si>
    <t>OEIE</t>
  </si>
  <si>
    <t>UGB
déterm.</t>
  </si>
  <si>
    <t>Purin et 
fumier</t>
  </si>
  <si>
    <t>Fumier et 
peu de purin</t>
  </si>
  <si>
    <t>50% purin
50% fumier</t>
  </si>
  <si>
    <t>Stabulation entravée</t>
  </si>
  <si>
    <t>Couche profonde</t>
  </si>
  <si>
    <t>purin et peu de fumier</t>
  </si>
  <si>
    <t>Stabulation libre</t>
  </si>
  <si>
    <t>Réservé au Sagri</t>
  </si>
  <si>
    <t xml:space="preserve">     'd'impact</t>
  </si>
  <si>
    <r>
      <t xml:space="preserve">Effectif maximal d'animaux (dans le rural et autres bâtiments, y c. extension future)             </t>
    </r>
    <r>
      <rPr>
        <b/>
        <i/>
        <sz val="11"/>
        <rFont val="Arial"/>
        <family val="2"/>
      </rPr>
      <t>assujetis à étude</t>
    </r>
  </si>
  <si>
    <t>Type d'eaux usées (nettoyage installations et locaux)</t>
  </si>
  <si>
    <t>UGBF x 6</t>
  </si>
  <si>
    <t>Grangeneuve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</si>
</sst>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&quot;CHF&quot;\ * #,##0_ ;_ &quot;CHF&quot;\ * \-#,##0_ ;_ &quot;CHF&quot;\ * &quot;-&quot;_ ;_ @_ "/>
    <numFmt numFmtId="171" formatCode="_ &quot;CHF&quot;\ * #,##0.00_ ;_ &quot;CHF&quot;\ * \-#,##0.00_ ;_ &quot;CHF&quot;\ * &quot;-&quot;??_ ;_ @_ "/>
    <numFmt numFmtId="172" formatCode="0.0"/>
    <numFmt numFmtId="173" formatCode="0.000"/>
    <numFmt numFmtId="174" formatCode="&quot;: &quot;0"/>
    <numFmt numFmtId="175" formatCode="&quot;X &quot;0.00"/>
    <numFmt numFmtId="176" formatCode="&quot;x &quot;0.0"/>
    <numFmt numFmtId="177" formatCode="&quot;x &quot;0.00"/>
    <numFmt numFmtId="178" formatCode="0\ &quot;m2&quot;"/>
    <numFmt numFmtId="179" formatCode="0\ &quot;m3&quot;"/>
    <numFmt numFmtId="180" formatCode="0\ &quot;l&quot;"/>
    <numFmt numFmtId="181" formatCode=";;;"/>
    <numFmt numFmtId="182" formatCode="0.0000"/>
    <numFmt numFmtId="183" formatCode="0.000000"/>
    <numFmt numFmtId="184" formatCode="0.00000"/>
    <numFmt numFmtId="185" formatCode="#,##0.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sz val="8"/>
      <color indexed="8"/>
      <name val="Arial"/>
      <family val="2"/>
    </font>
    <font>
      <i/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1"/>
      <name val="Arial"/>
      <family val="2"/>
    </font>
    <font>
      <b/>
      <sz val="12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3"/>
      <name val="Arial"/>
      <family val="2"/>
    </font>
    <font>
      <u val="single"/>
      <sz val="8"/>
      <name val="Arial"/>
      <family val="0"/>
    </font>
    <font>
      <u val="single"/>
      <sz val="12"/>
      <name val="Arial"/>
      <family val="0"/>
    </font>
    <font>
      <vertAlign val="superscript"/>
      <sz val="10"/>
      <name val="Arial"/>
      <family val="2"/>
    </font>
    <font>
      <sz val="6"/>
      <name val="Arial"/>
      <family val="0"/>
    </font>
    <font>
      <vertAlign val="superscript"/>
      <sz val="10"/>
      <name val="MS Sans Serif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i/>
      <sz val="9"/>
      <name val="Arial"/>
      <family val="2"/>
    </font>
    <font>
      <sz val="9"/>
      <name val="Symbol"/>
      <family val="1"/>
    </font>
    <font>
      <sz val="8"/>
      <color indexed="9"/>
      <name val="Arial"/>
      <family val="0"/>
    </font>
    <font>
      <b/>
      <sz val="24"/>
      <name val="MS Sans Serif"/>
      <family val="2"/>
    </font>
    <font>
      <b/>
      <sz val="2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ashed"/>
      <right style="dashed"/>
      <top style="dashed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0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wrapText="1"/>
      <protection/>
    </xf>
    <xf numFmtId="172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51" applyFont="1" applyAlignment="1">
      <alignment/>
      <protection/>
    </xf>
    <xf numFmtId="0" fontId="0" fillId="0" borderId="0" xfId="51" applyFont="1" applyBorder="1" applyAlignment="1" applyProtection="1">
      <alignment horizontal="centerContinuous"/>
      <protection/>
    </xf>
    <xf numFmtId="0" fontId="0" fillId="0" borderId="0" xfId="51" applyFont="1" applyBorder="1" applyAlignment="1" applyProtection="1">
      <alignment horizontal="centerContinuous" vertical="center"/>
      <protection/>
    </xf>
    <xf numFmtId="0" fontId="6" fillId="0" borderId="0" xfId="51" applyFont="1" applyAlignment="1">
      <alignment vertical="center"/>
      <protection/>
    </xf>
    <xf numFmtId="0" fontId="0" fillId="0" borderId="12" xfId="51" applyFont="1" applyBorder="1" applyAlignment="1" applyProtection="1">
      <alignment horizontal="centerContinuous" vertical="center"/>
      <protection/>
    </xf>
    <xf numFmtId="0" fontId="16" fillId="0" borderId="16" xfId="51" applyBorder="1" applyAlignment="1" applyProtection="1">
      <alignment horizontal="centerContinuous"/>
      <protection/>
    </xf>
    <xf numFmtId="0" fontId="0" fillId="0" borderId="16" xfId="51" applyFont="1" applyBorder="1" applyAlignment="1" applyProtection="1">
      <alignment horizontal="centerContinuous"/>
      <protection/>
    </xf>
    <xf numFmtId="0" fontId="0" fillId="0" borderId="16" xfId="51" applyFont="1" applyBorder="1" applyAlignment="1" applyProtection="1">
      <alignment horizontal="centerContinuous" vertical="center"/>
      <protection/>
    </xf>
    <xf numFmtId="0" fontId="1" fillId="0" borderId="17" xfId="51" applyFont="1" applyBorder="1" applyAlignment="1" applyProtection="1">
      <alignment horizontal="centerContinuous"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vertical="center"/>
      <protection/>
    </xf>
    <xf numFmtId="0" fontId="16" fillId="0" borderId="0" xfId="51" applyProtection="1">
      <alignment/>
      <protection/>
    </xf>
    <xf numFmtId="0" fontId="0" fillId="0" borderId="0" xfId="51" applyFont="1" applyFill="1" applyBorder="1" applyAlignment="1" applyProtection="1" quotePrefix="1">
      <alignment vertical="center"/>
      <protection/>
    </xf>
    <xf numFmtId="0" fontId="6" fillId="0" borderId="0" xfId="51" applyFont="1">
      <alignment/>
      <protection/>
    </xf>
    <xf numFmtId="0" fontId="0" fillId="0" borderId="0" xfId="51" applyFont="1">
      <alignment/>
      <protection/>
    </xf>
    <xf numFmtId="0" fontId="16" fillId="0" borderId="0" xfId="51">
      <alignment/>
      <protection/>
    </xf>
    <xf numFmtId="0" fontId="0" fillId="0" borderId="0" xfId="51" applyFont="1" applyFill="1" applyAlignment="1" applyProtection="1">
      <alignment horizontal="left"/>
      <protection/>
    </xf>
    <xf numFmtId="0" fontId="0" fillId="0" borderId="0" xfId="51" applyFont="1" applyFill="1" applyBorder="1" applyAlignment="1" applyProtection="1">
      <alignment horizontal="right"/>
      <protection/>
    </xf>
    <xf numFmtId="0" fontId="0" fillId="0" borderId="16" xfId="51" applyFont="1" applyFill="1" applyBorder="1" applyProtection="1">
      <alignment/>
      <protection/>
    </xf>
    <xf numFmtId="0" fontId="0" fillId="0" borderId="0" xfId="51" applyFont="1" applyFill="1" applyProtection="1">
      <alignment/>
      <protection/>
    </xf>
    <xf numFmtId="0" fontId="0" fillId="0" borderId="0" xfId="51" applyFont="1" applyFill="1" applyAlignment="1" applyProtection="1">
      <alignment horizontal="right"/>
      <protection/>
    </xf>
    <xf numFmtId="0" fontId="0" fillId="0" borderId="0" xfId="51" applyFont="1" applyFill="1" applyBorder="1" applyAlignment="1" applyProtection="1">
      <alignment horizontal="left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Alignment="1" applyProtection="1" quotePrefix="1">
      <alignment horizontal="left"/>
      <protection/>
    </xf>
    <xf numFmtId="0" fontId="0" fillId="0" borderId="16" xfId="51" applyFont="1" applyFill="1" applyBorder="1" applyProtection="1">
      <alignment/>
      <protection locked="0"/>
    </xf>
    <xf numFmtId="0" fontId="0" fillId="0" borderId="0" xfId="51" applyFont="1" applyBorder="1" applyProtection="1">
      <alignment/>
      <protection/>
    </xf>
    <xf numFmtId="0" fontId="0" fillId="0" borderId="0" xfId="51" applyFont="1" applyFill="1" applyAlignment="1" applyProtection="1">
      <alignment horizontal="center"/>
      <protection/>
    </xf>
    <xf numFmtId="173" fontId="0" fillId="0" borderId="0" xfId="51" applyNumberFormat="1" applyFont="1" applyFill="1" applyBorder="1" applyAlignment="1" applyProtection="1">
      <alignment horizontal="centerContinuous"/>
      <protection/>
    </xf>
    <xf numFmtId="0" fontId="16" fillId="0" borderId="0" xfId="51" applyBorder="1" applyAlignment="1" applyProtection="1">
      <alignment horizontal="centerContinuous"/>
      <protection/>
    </xf>
    <xf numFmtId="0" fontId="0" fillId="0" borderId="0" xfId="51" applyFont="1" applyProtection="1">
      <alignment/>
      <protection/>
    </xf>
    <xf numFmtId="0" fontId="0" fillId="0" borderId="0" xfId="51" applyFont="1" applyBorder="1" applyAlignment="1" applyProtection="1">
      <alignment horizontal="left"/>
      <protection locked="0"/>
    </xf>
    <xf numFmtId="0" fontId="0" fillId="0" borderId="18" xfId="51" applyFont="1" applyFill="1" applyBorder="1" applyProtection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 applyFill="1" applyBorder="1" applyAlignment="1" applyProtection="1">
      <alignment horizontal="centerContinuous"/>
      <protection/>
    </xf>
    <xf numFmtId="0" fontId="0" fillId="0" borderId="0" xfId="51" applyFont="1" applyFill="1" applyAlignment="1" applyProtection="1" quotePrefix="1">
      <alignment horizontal="right"/>
      <protection/>
    </xf>
    <xf numFmtId="0" fontId="6" fillId="0" borderId="0" xfId="51" applyFont="1" applyFill="1">
      <alignment/>
      <protection/>
    </xf>
    <xf numFmtId="0" fontId="0" fillId="0" borderId="16" xfId="51" applyFont="1" applyFill="1" applyBorder="1" applyAlignment="1" applyProtection="1">
      <alignment horizontal="right"/>
      <protection/>
    </xf>
    <xf numFmtId="0" fontId="0" fillId="0" borderId="0" xfId="51" applyFont="1" applyFill="1" applyBorder="1" applyAlignment="1" applyProtection="1" quotePrefix="1">
      <alignment horizontal="left"/>
      <protection/>
    </xf>
    <xf numFmtId="0" fontId="0" fillId="0" borderId="0" xfId="51" applyFont="1" applyAlignment="1" applyProtection="1">
      <alignment horizontal="left"/>
      <protection/>
    </xf>
    <xf numFmtId="0" fontId="0" fillId="0" borderId="16" xfId="51" applyFont="1" applyBorder="1" applyProtection="1">
      <alignment/>
      <protection/>
    </xf>
    <xf numFmtId="0" fontId="0" fillId="0" borderId="18" xfId="51" applyFont="1" applyFill="1" applyBorder="1" applyAlignment="1" applyProtection="1">
      <alignment horizontal="left"/>
      <protection/>
    </xf>
    <xf numFmtId="0" fontId="2" fillId="0" borderId="0" xfId="51" applyFont="1" applyFill="1" applyAlignment="1" applyProtection="1" quotePrefix="1">
      <alignment horizontal="left"/>
      <protection/>
    </xf>
    <xf numFmtId="0" fontId="2" fillId="0" borderId="0" xfId="51" applyFont="1" applyFill="1" applyAlignment="1" applyProtection="1">
      <alignment horizontal="left"/>
      <protection/>
    </xf>
    <xf numFmtId="2" fontId="0" fillId="34" borderId="16" xfId="51" applyNumberFormat="1" applyFont="1" applyFill="1" applyBorder="1" applyProtection="1">
      <alignment/>
      <protection/>
    </xf>
    <xf numFmtId="0" fontId="19" fillId="0" borderId="0" xfId="51" applyFont="1" applyFill="1" applyProtection="1">
      <alignment/>
      <protection/>
    </xf>
    <xf numFmtId="0" fontId="0" fillId="0" borderId="0" xfId="51" applyFont="1" applyAlignment="1" applyProtection="1">
      <alignment horizontal="right"/>
      <protection/>
    </xf>
    <xf numFmtId="2" fontId="0" fillId="0" borderId="0" xfId="51" applyNumberFormat="1" applyFont="1" applyFill="1" applyProtection="1">
      <alignment/>
      <protection/>
    </xf>
    <xf numFmtId="0" fontId="0" fillId="0" borderId="0" xfId="51" applyFont="1" applyAlignment="1" applyProtection="1">
      <alignment horizontal="center"/>
      <protection/>
    </xf>
    <xf numFmtId="0" fontId="0" fillId="0" borderId="0" xfId="51" applyFont="1" applyFill="1" applyAlignment="1" applyProtection="1" quotePrefix="1">
      <alignment horizontal="left" vertical="center"/>
      <protection/>
    </xf>
    <xf numFmtId="0" fontId="0" fillId="0" borderId="0" xfId="51" applyFont="1" applyFill="1" applyAlignment="1" applyProtection="1">
      <alignment vertical="top"/>
      <protection/>
    </xf>
    <xf numFmtId="0" fontId="0" fillId="0" borderId="0" xfId="51" applyFont="1" applyFill="1" applyAlignment="1" applyProtection="1" quotePrefix="1">
      <alignment horizontal="left" vertical="top"/>
      <protection/>
    </xf>
    <xf numFmtId="0" fontId="2" fillId="0" borderId="0" xfId="51" applyFont="1" applyFill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right"/>
      <protection/>
    </xf>
    <xf numFmtId="0" fontId="0" fillId="0" borderId="0" xfId="51" applyFont="1" applyFill="1" applyAlignment="1" applyProtection="1">
      <alignment/>
      <protection/>
    </xf>
    <xf numFmtId="0" fontId="6" fillId="0" borderId="0" xfId="51" applyFont="1" applyBorder="1" applyAlignment="1" applyProtection="1">
      <alignment horizontal="left"/>
      <protection locked="0"/>
    </xf>
    <xf numFmtId="0" fontId="0" fillId="0" borderId="0" xfId="51" applyFont="1" applyFill="1" applyAlignment="1" applyProtection="1" quotePrefix="1">
      <alignment horizontal="center"/>
      <protection/>
    </xf>
    <xf numFmtId="0" fontId="0" fillId="0" borderId="0" xfId="51" applyFont="1" applyFill="1" applyAlignment="1" applyProtection="1" quotePrefix="1">
      <alignment horizontal="left"/>
      <protection locked="0"/>
    </xf>
    <xf numFmtId="0" fontId="2" fillId="0" borderId="0" xfId="51" applyFont="1" applyAlignment="1" applyProtection="1" quotePrefix="1">
      <alignment horizontal="left"/>
      <protection/>
    </xf>
    <xf numFmtId="0" fontId="0" fillId="0" borderId="0" xfId="51" applyFont="1" applyBorder="1" applyAlignment="1" applyProtection="1" quotePrefix="1">
      <alignment horizontal="left"/>
      <protection/>
    </xf>
    <xf numFmtId="0" fontId="2" fillId="0" borderId="0" xfId="51" applyFont="1" applyBorder="1" applyAlignment="1" applyProtection="1" quotePrefix="1">
      <alignment horizontal="left"/>
      <protection/>
    </xf>
    <xf numFmtId="0" fontId="0" fillId="0" borderId="0" xfId="51" applyFont="1" applyBorder="1" applyAlignment="1" applyProtection="1">
      <alignment horizontal="left"/>
      <protection/>
    </xf>
    <xf numFmtId="0" fontId="0" fillId="0" borderId="0" xfId="51" applyFont="1" applyBorder="1" applyAlignment="1" applyProtection="1">
      <alignment horizontal="right"/>
      <protection/>
    </xf>
    <xf numFmtId="0" fontId="0" fillId="0" borderId="0" xfId="51" applyFont="1" applyBorder="1" applyAlignment="1" applyProtection="1" quotePrefix="1">
      <alignment horizontal="right"/>
      <protection/>
    </xf>
    <xf numFmtId="0" fontId="0" fillId="0" borderId="0" xfId="51" applyFont="1" applyBorder="1" applyAlignment="1" applyProtection="1">
      <alignment horizontal="center"/>
      <protection/>
    </xf>
    <xf numFmtId="0" fontId="4" fillId="0" borderId="0" xfId="51" applyFont="1" applyBorder="1" applyAlignment="1" applyProtection="1">
      <alignment horizontal="right"/>
      <protection locked="0"/>
    </xf>
    <xf numFmtId="0" fontId="4" fillId="0" borderId="0" xfId="51" applyFont="1" applyBorder="1" applyAlignment="1" applyProtection="1">
      <alignment horizontal="left"/>
      <protection locked="0"/>
    </xf>
    <xf numFmtId="0" fontId="4" fillId="0" borderId="0" xfId="51" applyFont="1" applyBorder="1" applyProtection="1">
      <alignment/>
      <protection/>
    </xf>
    <xf numFmtId="0" fontId="16" fillId="0" borderId="0" xfId="51" applyBorder="1" applyProtection="1">
      <alignment/>
      <protection/>
    </xf>
    <xf numFmtId="180" fontId="0" fillId="0" borderId="0" xfId="51" applyNumberFormat="1" applyFont="1" applyBorder="1" applyAlignment="1" applyProtection="1">
      <alignment horizontal="right"/>
      <protection/>
    </xf>
    <xf numFmtId="0" fontId="4" fillId="0" borderId="0" xfId="51" applyFont="1" applyBorder="1" applyAlignment="1" applyProtection="1" quotePrefix="1">
      <alignment horizontal="right"/>
      <protection/>
    </xf>
    <xf numFmtId="0" fontId="6" fillId="0" borderId="0" xfId="51" applyFont="1" applyBorder="1" applyAlignment="1" applyProtection="1">
      <alignment horizontal="center"/>
      <protection locked="0"/>
    </xf>
    <xf numFmtId="0" fontId="6" fillId="0" borderId="0" xfId="51" applyFont="1" applyBorder="1" applyAlignment="1" applyProtection="1">
      <alignment horizontal="left"/>
      <protection/>
    </xf>
    <xf numFmtId="0" fontId="6" fillId="0" borderId="0" xfId="51" applyFont="1" applyBorder="1" applyAlignment="1" applyProtection="1">
      <alignment horizontal="centerContinuous"/>
      <protection/>
    </xf>
    <xf numFmtId="0" fontId="0" fillId="0" borderId="0" xfId="51" applyFont="1" applyBorder="1" applyAlignment="1" applyProtection="1">
      <alignment vertical="center"/>
      <protection/>
    </xf>
    <xf numFmtId="0" fontId="16" fillId="0" borderId="16" xfId="51" applyBorder="1">
      <alignment/>
      <protection/>
    </xf>
    <xf numFmtId="0" fontId="22" fillId="0" borderId="0" xfId="51" applyFont="1" applyBorder="1" applyAlignment="1" applyProtection="1">
      <alignment vertical="center"/>
      <protection/>
    </xf>
    <xf numFmtId="0" fontId="16" fillId="0" borderId="0" xfId="51" applyBorder="1">
      <alignment/>
      <protection/>
    </xf>
    <xf numFmtId="172" fontId="0" fillId="0" borderId="0" xfId="51" applyNumberFormat="1" applyFont="1" applyBorder="1" applyAlignment="1" applyProtection="1">
      <alignment horizontal="centerContinuous" vertical="center"/>
      <protection/>
    </xf>
    <xf numFmtId="0" fontId="0" fillId="0" borderId="0" xfId="51" applyFont="1" applyBorder="1" applyAlignment="1" applyProtection="1">
      <alignment vertical="center"/>
      <protection/>
    </xf>
    <xf numFmtId="2" fontId="0" fillId="0" borderId="0" xfId="51" applyNumberFormat="1" applyFon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right" vertical="center"/>
      <protection/>
    </xf>
    <xf numFmtId="0" fontId="0" fillId="0" borderId="0" xfId="51" applyFont="1" applyBorder="1" applyAlignment="1" applyProtection="1" quotePrefix="1">
      <alignment horizontal="left" vertical="center"/>
      <protection/>
    </xf>
    <xf numFmtId="172" fontId="0" fillId="0" borderId="0" xfId="51" applyNumberFormat="1" applyFont="1" applyBorder="1" applyAlignment="1" applyProtection="1">
      <alignment/>
      <protection/>
    </xf>
    <xf numFmtId="172" fontId="0" fillId="34" borderId="0" xfId="51" applyNumberFormat="1" applyFont="1" applyFill="1" applyBorder="1" applyAlignment="1" applyProtection="1">
      <alignment horizontal="center"/>
      <protection/>
    </xf>
    <xf numFmtId="0" fontId="0" fillId="0" borderId="0" xfId="51" applyFont="1" applyBorder="1" applyAlignment="1" applyProtection="1" quotePrefix="1">
      <alignment horizontal="left" vertical="top"/>
      <protection/>
    </xf>
    <xf numFmtId="0" fontId="0" fillId="0" borderId="0" xfId="51" applyFont="1" applyBorder="1" applyAlignment="1" applyProtection="1">
      <alignment horizontal="left" vertical="top"/>
      <protection/>
    </xf>
    <xf numFmtId="2" fontId="0" fillId="0" borderId="0" xfId="51" applyNumberFormat="1" applyFont="1" applyBorder="1" applyAlignment="1" applyProtection="1">
      <alignment vertical="top"/>
      <protection/>
    </xf>
    <xf numFmtId="2" fontId="0" fillId="34" borderId="0" xfId="51" applyNumberFormat="1" applyFont="1" applyFill="1" applyBorder="1" applyAlignment="1" applyProtection="1">
      <alignment horizontal="center" vertical="top"/>
      <protection/>
    </xf>
    <xf numFmtId="0" fontId="0" fillId="0" borderId="0" xfId="51" applyFont="1" applyBorder="1" applyAlignment="1" applyProtection="1">
      <alignment vertical="top"/>
      <protection/>
    </xf>
    <xf numFmtId="2" fontId="0" fillId="0" borderId="0" xfId="51" applyNumberFormat="1" applyFont="1" applyBorder="1" applyAlignment="1" applyProtection="1">
      <alignment horizontal="center" vertical="top"/>
      <protection/>
    </xf>
    <xf numFmtId="0" fontId="0" fillId="0" borderId="0" xfId="51" applyFont="1" applyBorder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horizontal="centerContinuous" vertical="center"/>
      <protection/>
    </xf>
    <xf numFmtId="0" fontId="0" fillId="0" borderId="0" xfId="51" applyFont="1" applyBorder="1" applyAlignment="1" applyProtection="1">
      <alignment horizontal="centerContinuous" vertical="top"/>
      <protection/>
    </xf>
    <xf numFmtId="0" fontId="0" fillId="0" borderId="0" xfId="51" applyFont="1" applyBorder="1" applyAlignment="1">
      <alignment horizontal="right" vertical="center"/>
      <protection/>
    </xf>
    <xf numFmtId="0" fontId="0" fillId="0" borderId="0" xfId="51" applyFont="1" applyBorder="1" applyAlignment="1" applyProtection="1">
      <alignment horizontal="centerContinuous" vertical="center"/>
      <protection locked="0"/>
    </xf>
    <xf numFmtId="0" fontId="0" fillId="0" borderId="0" xfId="51" applyFont="1" applyBorder="1" applyAlignment="1" applyProtection="1">
      <alignment horizontal="centerContinuous" vertical="center" wrapText="1"/>
      <protection/>
    </xf>
    <xf numFmtId="0" fontId="0" fillId="0" borderId="0" xfId="51" applyFont="1" applyBorder="1" applyAlignment="1" applyProtection="1" quotePrefix="1">
      <alignment horizontal="centerContinuous" vertical="center"/>
      <protection/>
    </xf>
    <xf numFmtId="0" fontId="0" fillId="0" borderId="0" xfId="51" applyFont="1" applyBorder="1" applyAlignment="1" applyProtection="1">
      <alignment horizontal="centerContinuous"/>
      <protection locked="0"/>
    </xf>
    <xf numFmtId="0" fontId="0" fillId="0" borderId="0" xfId="51" applyFont="1" applyBorder="1" applyAlignment="1" applyProtection="1">
      <alignment horizontal="centerContinuous" wrapText="1"/>
      <protection/>
    </xf>
    <xf numFmtId="0" fontId="0" fillId="0" borderId="0" xfId="51" applyFont="1" applyBorder="1" applyAlignment="1" applyProtection="1" quotePrefix="1">
      <alignment horizontal="centerContinuous" wrapText="1"/>
      <protection/>
    </xf>
    <xf numFmtId="0" fontId="6" fillId="0" borderId="0" xfId="51" applyFont="1" applyBorder="1" applyAlignment="1" applyProtection="1">
      <alignment horizontal="centerContinuous" vertical="center"/>
      <protection/>
    </xf>
    <xf numFmtId="0" fontId="0" fillId="0" borderId="0" xfId="51" applyFont="1" applyBorder="1" applyAlignment="1" applyProtection="1" quotePrefix="1">
      <alignment horizontal="right" vertical="center"/>
      <protection/>
    </xf>
    <xf numFmtId="0" fontId="16" fillId="0" borderId="16" xfId="51" applyBorder="1" applyProtection="1">
      <alignment/>
      <protection/>
    </xf>
    <xf numFmtId="1" fontId="0" fillId="34" borderId="0" xfId="51" applyNumberFormat="1" applyFont="1" applyFill="1" applyBorder="1" applyAlignment="1" applyProtection="1">
      <alignment horizontal="centerContinuous" vertical="center"/>
      <protection/>
    </xf>
    <xf numFmtId="1" fontId="0" fillId="0" borderId="0" xfId="51" applyNumberFormat="1" applyFon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178" fontId="1" fillId="34" borderId="0" xfId="51" applyNumberFormat="1" applyFont="1" applyFill="1" applyBorder="1" applyAlignment="1" applyProtection="1">
      <alignment horizontal="centerContinuous" vertical="center"/>
      <protection/>
    </xf>
    <xf numFmtId="0" fontId="16" fillId="0" borderId="0" xfId="51" applyFont="1" applyBorder="1" applyAlignment="1" applyProtection="1" quotePrefix="1">
      <alignment vertical="center"/>
      <protection/>
    </xf>
    <xf numFmtId="0" fontId="0" fillId="0" borderId="0" xfId="51" applyFont="1" applyAlignment="1">
      <alignment horizontal="right"/>
      <protection/>
    </xf>
    <xf numFmtId="0" fontId="0" fillId="0" borderId="0" xfId="51" applyFont="1" applyFill="1" applyBorder="1" applyAlignment="1" applyProtection="1">
      <alignment horizontal="left"/>
      <protection locked="0"/>
    </xf>
    <xf numFmtId="0" fontId="0" fillId="0" borderId="0" xfId="51" applyFont="1" applyFill="1" applyBorder="1" applyAlignment="1" applyProtection="1">
      <alignment horizontal="center"/>
      <protection locked="0"/>
    </xf>
    <xf numFmtId="0" fontId="19" fillId="0" borderId="0" xfId="51" applyFont="1" applyFill="1" applyBorder="1" applyProtection="1">
      <alignment/>
      <protection/>
    </xf>
    <xf numFmtId="0" fontId="0" fillId="0" borderId="0" xfId="51" applyFont="1" applyBorder="1" applyProtection="1">
      <alignment/>
      <protection locked="0"/>
    </xf>
    <xf numFmtId="0" fontId="0" fillId="0" borderId="0" xfId="51" applyFont="1" applyBorder="1" applyAlignment="1" applyProtection="1">
      <alignment horizontal="center"/>
      <protection locked="0"/>
    </xf>
    <xf numFmtId="0" fontId="0" fillId="0" borderId="0" xfId="51" applyFont="1" applyAlignment="1" applyProtection="1">
      <alignment horizontal="left"/>
      <protection/>
    </xf>
    <xf numFmtId="0" fontId="16" fillId="0" borderId="0" xfId="51" applyFont="1">
      <alignment/>
      <protection/>
    </xf>
    <xf numFmtId="0" fontId="0" fillId="0" borderId="0" xfId="51" applyFont="1" applyAlignment="1" applyProtection="1">
      <alignment horizontal="right"/>
      <protection/>
    </xf>
    <xf numFmtId="0" fontId="0" fillId="0" borderId="16" xfId="51" applyFont="1" applyFill="1" applyBorder="1" applyAlignment="1" applyProtection="1" quotePrefix="1">
      <alignment horizontal="left" vertical="center"/>
      <protection/>
    </xf>
    <xf numFmtId="0" fontId="0" fillId="0" borderId="16" xfId="51" applyFont="1" applyFill="1" applyBorder="1" applyAlignment="1" applyProtection="1" quotePrefix="1">
      <alignment horizontal="right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6" fillId="0" borderId="0" xfId="51" applyFont="1" applyBorder="1" applyProtection="1">
      <alignment/>
      <protection/>
    </xf>
    <xf numFmtId="2" fontId="0" fillId="0" borderId="0" xfId="51" applyNumberFormat="1" applyFont="1" applyBorder="1" applyProtection="1">
      <alignment/>
      <protection/>
    </xf>
    <xf numFmtId="0" fontId="1" fillId="0" borderId="0" xfId="51" applyFont="1" applyFill="1" applyBorder="1" applyAlignment="1" applyProtection="1" quotePrefix="1">
      <alignment horizontal="left"/>
      <protection locked="0"/>
    </xf>
    <xf numFmtId="0" fontId="2" fillId="0" borderId="0" xfId="51" applyFont="1" applyBorder="1" applyProtection="1">
      <alignment/>
      <protection/>
    </xf>
    <xf numFmtId="0" fontId="2" fillId="0" borderId="0" xfId="51" applyFont="1" applyBorder="1" applyAlignment="1" applyProtection="1">
      <alignment horizontal="left"/>
      <protection/>
    </xf>
    <xf numFmtId="0" fontId="0" fillId="0" borderId="0" xfId="51" applyFont="1" applyBorder="1" applyProtection="1" quotePrefix="1">
      <alignment/>
      <protection/>
    </xf>
    <xf numFmtId="0" fontId="16" fillId="0" borderId="0" xfId="51" applyBorder="1" applyAlignment="1" applyProtection="1">
      <alignment horizontal="center"/>
      <protection locked="0"/>
    </xf>
    <xf numFmtId="0" fontId="4" fillId="0" borderId="0" xfId="51" applyFont="1" applyBorder="1" applyAlignment="1" applyProtection="1" quotePrefix="1">
      <alignment horizontal="left"/>
      <protection/>
    </xf>
    <xf numFmtId="180" fontId="0" fillId="0" borderId="0" xfId="51" applyNumberFormat="1" applyFont="1" applyBorder="1" applyAlignment="1" applyProtection="1">
      <alignment horizontal="right"/>
      <protection locked="0"/>
    </xf>
    <xf numFmtId="0" fontId="6" fillId="34" borderId="0" xfId="51" applyFont="1" applyFill="1" applyBorder="1" applyAlignment="1" applyProtection="1" quotePrefix="1">
      <alignment horizontal="left"/>
      <protection/>
    </xf>
    <xf numFmtId="0" fontId="20" fillId="0" borderId="0" xfId="51" applyFont="1" applyBorder="1">
      <alignment/>
      <protection/>
    </xf>
    <xf numFmtId="0" fontId="4" fillId="0" borderId="0" xfId="51" applyFont="1" applyBorder="1" applyAlignment="1" applyProtection="1" quotePrefix="1">
      <alignment horizontal="center"/>
      <protection/>
    </xf>
    <xf numFmtId="0" fontId="14" fillId="0" borderId="0" xfId="51" applyFont="1" applyBorder="1" applyAlignment="1" applyProtection="1" quotePrefix="1">
      <alignment horizontal="left"/>
      <protection/>
    </xf>
    <xf numFmtId="0" fontId="6" fillId="0" borderId="0" xfId="51" applyFont="1" applyBorder="1" applyAlignment="1" applyProtection="1">
      <alignment horizontal="center"/>
      <protection/>
    </xf>
    <xf numFmtId="0" fontId="21" fillId="0" borderId="0" xfId="51" applyFont="1" applyBorder="1" applyAlignment="1" applyProtection="1">
      <alignment horizontal="center"/>
      <protection/>
    </xf>
    <xf numFmtId="0" fontId="6" fillId="0" borderId="0" xfId="51" applyFont="1" applyBorder="1" applyAlignment="1" applyProtection="1">
      <alignment horizontal="center" wrapText="1"/>
      <protection/>
    </xf>
    <xf numFmtId="0" fontId="2" fillId="0" borderId="0" xfId="51" applyFont="1" applyBorder="1" applyAlignment="1" applyProtection="1">
      <alignment vertical="center"/>
      <protection/>
    </xf>
    <xf numFmtId="0" fontId="16" fillId="0" borderId="0" xfId="51" applyBorder="1" applyAlignment="1">
      <alignment/>
      <protection/>
    </xf>
    <xf numFmtId="0" fontId="16" fillId="0" borderId="0" xfId="51" applyBorder="1" applyAlignment="1">
      <alignment horizontal="centerContinuous"/>
      <protection/>
    </xf>
    <xf numFmtId="0" fontId="6" fillId="0" borderId="0" xfId="51" applyFont="1" applyBorder="1" applyAlignment="1" applyProtection="1">
      <alignment horizontal="center" vertical="center"/>
      <protection/>
    </xf>
    <xf numFmtId="176" fontId="0" fillId="0" borderId="0" xfId="51" applyNumberFormat="1" applyFont="1" applyBorder="1" applyAlignment="1" applyProtection="1" quotePrefix="1">
      <alignment horizontal="centerContinuous" vertical="center"/>
      <protection/>
    </xf>
    <xf numFmtId="172" fontId="16" fillId="0" borderId="0" xfId="51" applyNumberFormat="1" applyBorder="1" applyAlignment="1">
      <alignment horizontal="center" vertical="center"/>
      <protection/>
    </xf>
    <xf numFmtId="176" fontId="0" fillId="0" borderId="0" xfId="51" applyNumberFormat="1" applyFont="1" applyBorder="1" applyAlignment="1" applyProtection="1">
      <alignment horizontal="center" vertical="center"/>
      <protection/>
    </xf>
    <xf numFmtId="172" fontId="0" fillId="34" borderId="0" xfId="51" applyNumberFormat="1" applyFont="1" applyFill="1" applyBorder="1" applyAlignment="1" applyProtection="1">
      <alignment horizontal="centerContinuous" vertical="center"/>
      <protection/>
    </xf>
    <xf numFmtId="0" fontId="16" fillId="0" borderId="0" xfId="51" applyBorder="1" applyAlignment="1" applyProtection="1">
      <alignment horizontal="centerContinuous" vertical="center"/>
      <protection/>
    </xf>
    <xf numFmtId="176" fontId="0" fillId="0" borderId="0" xfId="51" applyNumberFormat="1" applyFont="1" applyBorder="1" applyAlignment="1" applyProtection="1">
      <alignment horizontal="centerContinuous" vertical="center"/>
      <protection/>
    </xf>
    <xf numFmtId="0" fontId="0" fillId="0" borderId="0" xfId="51" applyFont="1" applyBorder="1" applyAlignment="1" applyProtection="1">
      <alignment horizontal="center" vertical="center"/>
      <protection locked="0"/>
    </xf>
    <xf numFmtId="0" fontId="0" fillId="0" borderId="0" xfId="5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/>
      <protection/>
    </xf>
    <xf numFmtId="177" fontId="0" fillId="0" borderId="0" xfId="51" applyNumberFormat="1" applyFont="1" applyBorder="1" applyAlignment="1" applyProtection="1">
      <alignment horizontal="center" vertical="center"/>
      <protection/>
    </xf>
    <xf numFmtId="2" fontId="0" fillId="34" borderId="0" xfId="51" applyNumberFormat="1" applyFont="1" applyFill="1" applyBorder="1" applyAlignment="1" applyProtection="1">
      <alignment horizontal="centerContinuous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172" fontId="16" fillId="0" borderId="0" xfId="51" applyNumberFormat="1" applyBorder="1">
      <alignment/>
      <protection/>
    </xf>
    <xf numFmtId="0" fontId="0" fillId="0" borderId="0" xfId="51" applyFont="1" applyBorder="1" applyAlignment="1" applyProtection="1">
      <alignment horizontal="left" vertical="center"/>
      <protection/>
    </xf>
    <xf numFmtId="0" fontId="6" fillId="0" borderId="0" xfId="51" applyFont="1" applyBorder="1" applyAlignment="1" applyProtection="1">
      <alignment horizontal="left" vertical="center"/>
      <protection/>
    </xf>
    <xf numFmtId="175" fontId="0" fillId="0" borderId="0" xfId="51" applyNumberFormat="1" applyFont="1" applyBorder="1" applyAlignment="1" applyProtection="1">
      <alignment horizontal="centerContinuous" vertical="center"/>
      <protection/>
    </xf>
    <xf numFmtId="172" fontId="0" fillId="0" borderId="0" xfId="51" applyNumberFormat="1" applyFont="1" applyBorder="1" applyAlignment="1" applyProtection="1">
      <alignment horizontal="center" vertical="center"/>
      <protection/>
    </xf>
    <xf numFmtId="172" fontId="0" fillId="34" borderId="0" xfId="51" applyNumberFormat="1" applyFont="1" applyFill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center"/>
      <protection/>
    </xf>
    <xf numFmtId="0" fontId="16" fillId="0" borderId="0" xfId="51" applyBorder="1" applyAlignment="1">
      <alignment vertical="center"/>
      <protection/>
    </xf>
    <xf numFmtId="174" fontId="0" fillId="0" borderId="0" xfId="51" applyNumberFormat="1" applyFont="1" applyBorder="1" applyAlignment="1" applyProtection="1">
      <alignment horizontal="center" vertical="center"/>
      <protection/>
    </xf>
    <xf numFmtId="0" fontId="16" fillId="0" borderId="0" xfId="51" applyBorder="1" applyAlignment="1">
      <alignment horizontal="centerContinuous" vertical="center"/>
      <protection/>
    </xf>
    <xf numFmtId="0" fontId="19" fillId="0" borderId="0" xfId="51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vertical="center"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6" fillId="0" borderId="0" xfId="51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/>
      <protection/>
    </xf>
    <xf numFmtId="0" fontId="0" fillId="0" borderId="0" xfId="51" applyFont="1" applyBorder="1" applyAlignment="1" applyProtection="1" quotePrefix="1">
      <alignment horizontal="right" vertical="top"/>
      <protection/>
    </xf>
    <xf numFmtId="0" fontId="1" fillId="0" borderId="0" xfId="51" applyFont="1" applyBorder="1" applyAlignment="1" quotePrefix="1">
      <alignment horizontal="left"/>
      <protection/>
    </xf>
    <xf numFmtId="0" fontId="0" fillId="0" borderId="0" xfId="51" applyFont="1" applyBorder="1" applyAlignment="1" quotePrefix="1">
      <alignment horizontal="center" vertical="center"/>
      <protection/>
    </xf>
    <xf numFmtId="0" fontId="2" fillId="0" borderId="0" xfId="51" applyFont="1" applyBorder="1" applyAlignment="1" quotePrefix="1">
      <alignment horizontal="left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Continuous"/>
      <protection/>
    </xf>
    <xf numFmtId="0" fontId="2" fillId="0" borderId="0" xfId="51" applyFont="1" applyBorder="1" applyAlignment="1">
      <alignment horizontal="right" vertical="center"/>
      <protection/>
    </xf>
    <xf numFmtId="176" fontId="0" fillId="0" borderId="0" xfId="51" applyNumberFormat="1" applyFont="1" applyBorder="1" applyAlignment="1">
      <alignment horizontal="center" vertical="center"/>
      <protection/>
    </xf>
    <xf numFmtId="172" fontId="0" fillId="34" borderId="0" xfId="51" applyNumberFormat="1" applyFont="1" applyFill="1" applyBorder="1" applyAlignment="1">
      <alignment horizontal="center" vertical="center"/>
      <protection/>
    </xf>
    <xf numFmtId="172" fontId="0" fillId="34" borderId="0" xfId="51" applyNumberFormat="1" applyFont="1" applyFill="1" applyBorder="1" applyAlignment="1">
      <alignment horizontal="centerContinuous" vertical="center"/>
      <protection/>
    </xf>
    <xf numFmtId="172" fontId="0" fillId="0" borderId="0" xfId="51" applyNumberFormat="1" applyFont="1" applyBorder="1" applyAlignment="1">
      <alignment horizontal="centerContinuous"/>
      <protection/>
    </xf>
    <xf numFmtId="0" fontId="0" fillId="0" borderId="0" xfId="51" applyFont="1" applyBorder="1" applyAlignment="1" quotePrefix="1">
      <alignment horizontal="left" vertical="center"/>
      <protection/>
    </xf>
    <xf numFmtId="0" fontId="2" fillId="0" borderId="0" xfId="51" applyFont="1" applyBorder="1" applyAlignment="1">
      <alignment horizontal="centerContinuous" vertical="center"/>
      <protection/>
    </xf>
    <xf numFmtId="172" fontId="0" fillId="0" borderId="0" xfId="51" applyNumberFormat="1" applyFont="1" applyBorder="1" applyAlignment="1">
      <alignment horizontal="center" vertical="center"/>
      <protection/>
    </xf>
    <xf numFmtId="172" fontId="0" fillId="0" borderId="0" xfId="51" applyNumberFormat="1" applyFont="1" applyBorder="1" applyAlignment="1">
      <alignment horizontal="centerContinuous" vertical="center"/>
      <protection/>
    </xf>
    <xf numFmtId="0" fontId="0" fillId="0" borderId="0" xfId="51" applyFont="1" applyBorder="1" applyAlignment="1" quotePrefix="1">
      <alignment horizontal="left"/>
      <protection/>
    </xf>
    <xf numFmtId="0" fontId="0" fillId="0" borderId="0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0" fillId="0" borderId="0" xfId="51" applyFont="1" applyBorder="1" applyAlignment="1" quotePrefix="1">
      <alignment horizontal="centerContinuous" vertical="center"/>
      <protection/>
    </xf>
    <xf numFmtId="0" fontId="0" fillId="0" borderId="0" xfId="51" applyFont="1" applyBorder="1" applyAlignment="1" quotePrefix="1">
      <alignment horizontal="right" vertical="center"/>
      <protection/>
    </xf>
    <xf numFmtId="176" fontId="0" fillId="0" borderId="0" xfId="51" applyNumberFormat="1" applyFont="1" applyBorder="1" applyAlignment="1">
      <alignment horizontal="center" vertical="top"/>
      <protection/>
    </xf>
    <xf numFmtId="172" fontId="0" fillId="34" borderId="0" xfId="51" applyNumberFormat="1" applyFont="1" applyFill="1" applyBorder="1" applyAlignment="1">
      <alignment horizontal="center" vertical="top"/>
      <protection/>
    </xf>
    <xf numFmtId="172" fontId="0" fillId="34" borderId="0" xfId="51" applyNumberFormat="1" applyFont="1" applyFill="1" applyBorder="1" applyAlignment="1">
      <alignment horizontal="centerContinuous" vertical="top"/>
      <protection/>
    </xf>
    <xf numFmtId="172" fontId="0" fillId="0" borderId="0" xfId="51" applyNumberFormat="1" applyFont="1" applyBorder="1" applyAlignment="1">
      <alignment horizontal="centerContinuous" vertical="top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Border="1" applyAlignment="1" quotePrefix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172" fontId="0" fillId="0" borderId="0" xfId="51" applyNumberFormat="1" applyFont="1" applyBorder="1" applyAlignment="1" applyProtection="1">
      <alignment horizontal="center" vertical="center"/>
      <protection locked="0"/>
    </xf>
    <xf numFmtId="0" fontId="2" fillId="0" borderId="0" xfId="51" applyFont="1" applyBorder="1" applyAlignment="1" applyProtection="1" quotePrefix="1">
      <alignment horizontal="left" vertical="center"/>
      <protection/>
    </xf>
    <xf numFmtId="1" fontId="0" fillId="0" borderId="0" xfId="51" applyNumberFormat="1" applyFont="1" applyBorder="1" applyAlignment="1" applyProtection="1">
      <alignment vertical="center"/>
      <protection/>
    </xf>
    <xf numFmtId="1" fontId="0" fillId="0" borderId="0" xfId="51" applyNumberFormat="1" applyFont="1" applyBorder="1" applyAlignment="1" applyProtection="1">
      <alignment horizontal="centerContinuous" vertical="center"/>
      <protection/>
    </xf>
    <xf numFmtId="1" fontId="0" fillId="34" borderId="0" xfId="51" applyNumberFormat="1" applyFont="1" applyFill="1" applyBorder="1" applyAlignment="1" applyProtection="1">
      <alignment horizontal="center"/>
      <protection/>
    </xf>
    <xf numFmtId="0" fontId="0" fillId="0" borderId="0" xfId="51" applyFont="1" applyBorder="1" applyAlignment="1" applyProtection="1" quotePrefix="1">
      <alignment horizontal="centerContinuous" vertical="top"/>
      <protection/>
    </xf>
    <xf numFmtId="0" fontId="0" fillId="0" borderId="0" xfId="51" applyFont="1" applyBorder="1" applyAlignment="1" applyProtection="1">
      <alignment horizontal="centerContinuous" vertical="top"/>
      <protection/>
    </xf>
    <xf numFmtId="0" fontId="16" fillId="0" borderId="0" xfId="51" applyBorder="1" applyAlignment="1" applyProtection="1">
      <alignment/>
      <protection/>
    </xf>
    <xf numFmtId="1" fontId="0" fillId="34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 quotePrefix="1">
      <alignment horizontal="left"/>
      <protection/>
    </xf>
    <xf numFmtId="0" fontId="16" fillId="0" borderId="0" xfId="51" applyBorder="1" applyAlignment="1" applyProtection="1">
      <alignment horizontal="left"/>
      <protection/>
    </xf>
    <xf numFmtId="1" fontId="0" fillId="34" borderId="0" xfId="51" applyNumberFormat="1" applyFont="1" applyFill="1" applyBorder="1" applyAlignment="1" applyProtection="1">
      <alignment horizontal="centerContinuous"/>
      <protection/>
    </xf>
    <xf numFmtId="0" fontId="0" fillId="0" borderId="0" xfId="51" applyFont="1" applyBorder="1" applyAlignment="1" applyProtection="1">
      <alignment horizontal="center" vertical="center"/>
      <protection locked="0"/>
    </xf>
    <xf numFmtId="0" fontId="0" fillId="34" borderId="0" xfId="51" applyFont="1" applyFill="1" applyBorder="1" applyAlignment="1" applyProtection="1" quotePrefix="1">
      <alignment horizontal="center" vertical="center"/>
      <protection/>
    </xf>
    <xf numFmtId="1" fontId="0" fillId="34" borderId="0" xfId="51" applyNumberFormat="1" applyFont="1" applyFill="1" applyBorder="1" applyAlignment="1" applyProtection="1" quotePrefix="1">
      <alignment horizontal="centerContinuous" vertical="center"/>
      <protection/>
    </xf>
    <xf numFmtId="0" fontId="0" fillId="34" borderId="0" xfId="51" applyFont="1" applyFill="1" applyBorder="1" applyAlignment="1" applyProtection="1">
      <alignment horizontal="centerContinuous" vertical="center"/>
      <protection/>
    </xf>
    <xf numFmtId="0" fontId="0" fillId="0" borderId="0" xfId="51" applyFont="1" applyBorder="1" applyAlignment="1" applyProtection="1" quotePrefix="1">
      <alignment horizontal="center" vertical="center"/>
      <protection/>
    </xf>
    <xf numFmtId="1" fontId="0" fillId="0" borderId="0" xfId="51" applyNumberFormat="1" applyFont="1" applyBorder="1" applyAlignment="1" applyProtection="1">
      <alignment horizontal="center" vertical="center"/>
      <protection locked="0"/>
    </xf>
    <xf numFmtId="179" fontId="1" fillId="34" borderId="0" xfId="51" applyNumberFormat="1" applyFont="1" applyFill="1" applyBorder="1" applyAlignment="1" applyProtection="1">
      <alignment horizontal="center" vertical="center"/>
      <protection/>
    </xf>
    <xf numFmtId="179" fontId="0" fillId="34" borderId="0" xfId="51" applyNumberFormat="1" applyFont="1" applyFill="1" applyBorder="1" applyAlignment="1" applyProtection="1">
      <alignment horizontal="centerContinuous" vertical="center"/>
      <protection/>
    </xf>
    <xf numFmtId="0" fontId="16" fillId="0" borderId="0" xfId="51" applyFont="1" applyBorder="1" applyAlignment="1" applyProtection="1" quotePrefix="1">
      <alignment horizontal="centerContinuous" vertical="center"/>
      <protection locked="0"/>
    </xf>
    <xf numFmtId="0" fontId="6" fillId="0" borderId="0" xfId="51" applyFont="1" applyBorder="1" applyAlignment="1">
      <alignment vertical="center"/>
      <protection/>
    </xf>
    <xf numFmtId="0" fontId="0" fillId="0" borderId="0" xfId="51" applyFont="1" applyBorder="1" applyAlignment="1" applyProtection="1" quotePrefix="1">
      <alignment vertical="center"/>
      <protection/>
    </xf>
    <xf numFmtId="0" fontId="0" fillId="0" borderId="0" xfId="51" applyFont="1" applyBorder="1" applyAlignment="1" applyProtection="1" quotePrefix="1">
      <alignment horizontal="center"/>
      <protection/>
    </xf>
    <xf numFmtId="0" fontId="24" fillId="0" borderId="0" xfId="51" applyFont="1" applyBorder="1" applyAlignment="1" quotePrefix="1">
      <alignment horizontal="left"/>
      <protection/>
    </xf>
    <xf numFmtId="0" fontId="17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6" fillId="0" borderId="18" xfId="51" applyBorder="1">
      <alignment/>
      <protection/>
    </xf>
    <xf numFmtId="0" fontId="14" fillId="0" borderId="0" xfId="0" applyFont="1" applyAlignment="1" applyProtection="1" quotePrefix="1">
      <alignment horizontal="left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quotePrefix="1">
      <alignment horizontal="right"/>
    </xf>
    <xf numFmtId="0" fontId="0" fillId="0" borderId="0" xfId="0" applyBorder="1" applyAlignment="1" quotePrefix="1">
      <alignment horizontal="center"/>
    </xf>
    <xf numFmtId="0" fontId="0" fillId="0" borderId="15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left" vertical="center"/>
    </xf>
    <xf numFmtId="2" fontId="0" fillId="0" borderId="28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left" vertical="center"/>
      <protection/>
    </xf>
    <xf numFmtId="2" fontId="0" fillId="0" borderId="22" xfId="0" applyNumberFormat="1" applyFont="1" applyFill="1" applyBorder="1" applyAlignment="1">
      <alignment horizontal="left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0" xfId="51" applyFont="1" applyFill="1" applyProtection="1">
      <alignment/>
      <protection/>
    </xf>
    <xf numFmtId="0" fontId="16" fillId="0" borderId="0" xfId="51" applyFont="1" applyProtection="1">
      <alignment/>
      <protection/>
    </xf>
    <xf numFmtId="0" fontId="0" fillId="0" borderId="0" xfId="0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33" borderId="33" xfId="0" applyFont="1" applyFill="1" applyBorder="1" applyAlignment="1">
      <alignment/>
    </xf>
    <xf numFmtId="0" fontId="6" fillId="33" borderId="33" xfId="0" applyFont="1" applyFill="1" applyBorder="1" applyAlignment="1">
      <alignment vertical="center"/>
    </xf>
    <xf numFmtId="2" fontId="6" fillId="33" borderId="3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8" fillId="0" borderId="0" xfId="51" applyFont="1" applyBorder="1">
      <alignment/>
      <protection/>
    </xf>
    <xf numFmtId="0" fontId="6" fillId="0" borderId="0" xfId="51" applyFont="1" applyFill="1" applyBorder="1">
      <alignment/>
      <protection/>
    </xf>
    <xf numFmtId="172" fontId="0" fillId="0" borderId="0" xfId="51" applyNumberFormat="1" applyFont="1" applyBorder="1" applyAlignment="1" applyProtection="1">
      <alignment horizontal="center"/>
      <protection/>
    </xf>
    <xf numFmtId="0" fontId="16" fillId="0" borderId="0" xfId="51" applyBorder="1" applyAlignment="1" applyProtection="1">
      <alignment horizontal="right"/>
      <protection/>
    </xf>
    <xf numFmtId="0" fontId="0" fillId="0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81" fontId="0" fillId="0" borderId="0" xfId="51" applyNumberFormat="1" applyFont="1" applyFill="1" applyProtection="1">
      <alignment/>
      <protection hidden="1"/>
    </xf>
    <xf numFmtId="181" fontId="0" fillId="0" borderId="0" xfId="51" applyNumberFormat="1" applyFont="1" applyFill="1" applyProtection="1">
      <alignment/>
      <protection/>
    </xf>
    <xf numFmtId="0" fontId="4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2" fontId="0" fillId="0" borderId="11" xfId="0" applyNumberFormat="1" applyFont="1" applyFill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ont="1" applyAlignment="1">
      <alignment horizontal="right"/>
    </xf>
    <xf numFmtId="0" fontId="0" fillId="35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36" xfId="0" applyFont="1" applyBorder="1" applyAlignment="1">
      <alignment horizontal="left"/>
    </xf>
    <xf numFmtId="0" fontId="16" fillId="0" borderId="0" xfId="51" applyFill="1" applyProtection="1">
      <alignment/>
      <protection/>
    </xf>
    <xf numFmtId="0" fontId="16" fillId="0" borderId="0" xfId="51" applyFill="1" applyBorder="1" applyAlignment="1" applyProtection="1" quotePrefix="1">
      <alignment/>
      <protection/>
    </xf>
    <xf numFmtId="0" fontId="16" fillId="0" borderId="0" xfId="51" applyFill="1" applyBorder="1" applyAlignment="1" applyProtection="1" quotePrefix="1">
      <alignment vertical="center"/>
      <protection/>
    </xf>
    <xf numFmtId="0" fontId="0" fillId="0" borderId="0" xfId="51" applyFont="1" applyFill="1">
      <alignment/>
      <protection/>
    </xf>
    <xf numFmtId="0" fontId="16" fillId="0" borderId="0" xfId="51" applyFill="1" applyAlignment="1" applyProtection="1">
      <alignment horizontal="centerContinuous"/>
      <protection/>
    </xf>
    <xf numFmtId="0" fontId="16" fillId="0" borderId="0" xfId="51" applyFill="1" applyBorder="1">
      <alignment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 applyAlignment="1">
      <alignment horizontal="left"/>
      <protection/>
    </xf>
    <xf numFmtId="0" fontId="0" fillId="0" borderId="0" xfId="51" applyFont="1" applyFill="1" applyBorder="1" applyAlignment="1" applyProtection="1">
      <alignment/>
      <protection locked="0"/>
    </xf>
    <xf numFmtId="0" fontId="16" fillId="0" borderId="0" xfId="51" applyFont="1" applyFill="1" applyBorder="1" applyProtection="1">
      <alignment/>
      <protection locked="0"/>
    </xf>
    <xf numFmtId="14" fontId="0" fillId="0" borderId="0" xfId="51" applyNumberFormat="1" applyFont="1" applyFill="1" applyBorder="1" applyAlignment="1" applyProtection="1">
      <alignment horizontal="centerContinuous"/>
      <protection locked="0"/>
    </xf>
    <xf numFmtId="0" fontId="29" fillId="0" borderId="0" xfId="51" applyFont="1" applyFill="1" applyAlignment="1" applyProtection="1" quotePrefix="1">
      <alignment horizontal="left"/>
      <protection/>
    </xf>
    <xf numFmtId="0" fontId="0" fillId="0" borderId="0" xfId="0" applyFont="1" applyFill="1" applyBorder="1" applyAlignment="1">
      <alignment/>
    </xf>
    <xf numFmtId="0" fontId="16" fillId="0" borderId="0" xfId="51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0" fontId="16" fillId="0" borderId="0" xfId="51" applyFont="1" applyProtection="1">
      <alignment/>
      <protection/>
    </xf>
    <xf numFmtId="0" fontId="0" fillId="0" borderId="37" xfId="0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" fontId="0" fillId="36" borderId="11" xfId="0" applyNumberFormat="1" applyFont="1" applyFill="1" applyBorder="1" applyAlignment="1" quotePrefix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 quotePrefix="1">
      <alignment horizontal="center" vertical="center"/>
    </xf>
    <xf numFmtId="0" fontId="0" fillId="36" borderId="11" xfId="0" applyFont="1" applyFill="1" applyBorder="1" applyAlignment="1" quotePrefix="1">
      <alignment horizontal="center"/>
    </xf>
    <xf numFmtId="0" fontId="0" fillId="36" borderId="11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0" fontId="0" fillId="0" borderId="38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wrapText="1"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3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2" fontId="4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6" fillId="0" borderId="0" xfId="51" applyFill="1" applyBorder="1" applyAlignment="1">
      <alignment/>
      <protection/>
    </xf>
    <xf numFmtId="3" fontId="0" fillId="0" borderId="0" xfId="51" applyNumberFormat="1" applyFont="1" applyFill="1" applyBorder="1" applyAlignment="1" applyProtection="1" quotePrefix="1">
      <alignment horizontal="left"/>
      <protection/>
    </xf>
    <xf numFmtId="0" fontId="16" fillId="0" borderId="0" xfId="51" applyFill="1" applyBorder="1" applyAlignment="1" applyProtection="1">
      <alignment horizontal="centerContinuous"/>
      <protection/>
    </xf>
    <xf numFmtId="3" fontId="0" fillId="0" borderId="0" xfId="51" applyNumberFormat="1" applyFont="1" applyFill="1" applyBorder="1" applyAlignment="1" applyProtection="1">
      <alignment horizontal="left"/>
      <protection/>
    </xf>
    <xf numFmtId="0" fontId="6" fillId="33" borderId="33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36" borderId="26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4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35" borderId="13" xfId="0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9" xfId="0" applyFont="1" applyFill="1" applyBorder="1" applyAlignment="1">
      <alignment/>
    </xf>
    <xf numFmtId="172" fontId="6" fillId="0" borderId="39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42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49" fontId="1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25" xfId="51" applyFont="1" applyBorder="1" applyProtection="1">
      <alignment/>
      <protection/>
    </xf>
    <xf numFmtId="0" fontId="16" fillId="0" borderId="25" xfId="5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2" fillId="0" borderId="0" xfId="51" applyFont="1" applyBorder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4" xfId="0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6" xfId="51" applyFont="1" applyFill="1" applyBorder="1" applyAlignment="1" applyProtection="1">
      <alignment horizontal="left"/>
      <protection locked="0"/>
    </xf>
    <xf numFmtId="0" fontId="0" fillId="0" borderId="16" xfId="51" applyFont="1" applyFill="1" applyBorder="1" applyAlignment="1" applyProtection="1">
      <alignment/>
      <protection locked="0"/>
    </xf>
    <xf numFmtId="0" fontId="0" fillId="0" borderId="16" xfId="51" applyFont="1" applyFill="1" applyBorder="1" applyAlignment="1" applyProtection="1">
      <alignment horizontal="left"/>
      <protection locked="0"/>
    </xf>
    <xf numFmtId="0" fontId="0" fillId="0" borderId="16" xfId="51" applyFont="1" applyFill="1" applyBorder="1" applyProtection="1">
      <alignment/>
      <protection locked="0"/>
    </xf>
    <xf numFmtId="0" fontId="0" fillId="0" borderId="16" xfId="51" applyFont="1" applyFill="1" applyBorder="1" applyAlignment="1" applyProtection="1">
      <alignment horizontal="center"/>
      <protection locked="0"/>
    </xf>
    <xf numFmtId="2" fontId="0" fillId="0" borderId="16" xfId="51" applyNumberFormat="1" applyFont="1" applyFill="1" applyBorder="1" applyProtection="1">
      <alignment/>
      <protection locked="0"/>
    </xf>
    <xf numFmtId="2" fontId="0" fillId="0" borderId="16" xfId="51" applyNumberFormat="1" applyFont="1" applyFill="1" applyBorder="1" applyProtection="1">
      <alignment/>
      <protection/>
    </xf>
    <xf numFmtId="2" fontId="0" fillId="0" borderId="16" xfId="51" applyNumberFormat="1" applyFont="1" applyFill="1" applyBorder="1" applyAlignment="1" applyProtection="1">
      <alignment/>
      <protection locked="0"/>
    </xf>
    <xf numFmtId="2" fontId="0" fillId="0" borderId="11" xfId="51" applyNumberFormat="1" applyFont="1" applyFill="1" applyBorder="1" applyProtection="1">
      <alignment/>
      <protection/>
    </xf>
    <xf numFmtId="2" fontId="0" fillId="0" borderId="16" xfId="51" applyNumberFormat="1" applyFont="1" applyFill="1" applyBorder="1" applyAlignment="1" applyProtection="1">
      <alignment horizontal="right"/>
      <protection locked="0"/>
    </xf>
    <xf numFmtId="0" fontId="4" fillId="0" borderId="0" xfId="51" applyFont="1" applyFill="1" applyBorder="1" applyAlignment="1" applyProtection="1">
      <alignment horizontal="center"/>
      <protection locked="0"/>
    </xf>
    <xf numFmtId="0" fontId="0" fillId="0" borderId="27" xfId="51" applyFont="1" applyFill="1" applyBorder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3" xfId="0" applyNumberFormat="1" applyFill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0" fillId="0" borderId="13" xfId="0" applyBorder="1" applyAlignment="1" quotePrefix="1">
      <alignment horizontal="center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3" xfId="0" applyBorder="1" applyAlignment="1">
      <alignment horizontal="left"/>
    </xf>
    <xf numFmtId="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8" xfId="0" applyBorder="1" applyAlignment="1">
      <alignment horizontal="left"/>
    </xf>
    <xf numFmtId="9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9" fontId="0" fillId="0" borderId="22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7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34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0" borderId="39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36" fillId="0" borderId="10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35" borderId="12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/>
    </xf>
    <xf numFmtId="0" fontId="0" fillId="35" borderId="22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/>
      <protection/>
    </xf>
    <xf numFmtId="172" fontId="0" fillId="0" borderId="2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right"/>
      <protection locked="0"/>
    </xf>
    <xf numFmtId="3" fontId="1" fillId="0" borderId="1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3" fontId="0" fillId="0" borderId="0" xfId="0" applyNumberFormat="1" applyAlignment="1" applyProtection="1">
      <alignment/>
      <protection/>
    </xf>
    <xf numFmtId="49" fontId="14" fillId="0" borderId="0" xfId="0" applyNumberFormat="1" applyFont="1" applyAlignment="1" applyProtection="1">
      <alignment horizontal="center" vertical="top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9" fontId="0" fillId="0" borderId="39" xfId="0" applyNumberFormat="1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4" fillId="33" borderId="39" xfId="0" applyFont="1" applyFill="1" applyBorder="1" applyAlignment="1" applyProtection="1">
      <alignment/>
      <protection/>
    </xf>
    <xf numFmtId="9" fontId="15" fillId="33" borderId="39" xfId="0" applyNumberFormat="1" applyFont="1" applyFill="1" applyBorder="1" applyAlignment="1" applyProtection="1">
      <alignment/>
      <protection/>
    </xf>
    <xf numFmtId="0" fontId="15" fillId="33" borderId="39" xfId="0" applyFont="1" applyFill="1" applyBorder="1" applyAlignment="1" applyProtection="1">
      <alignment/>
      <protection/>
    </xf>
    <xf numFmtId="0" fontId="15" fillId="33" borderId="3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 quotePrefix="1">
      <alignment horizontal="center"/>
      <protection/>
    </xf>
    <xf numFmtId="0" fontId="0" fillId="0" borderId="16" xfId="0" applyFont="1" applyBorder="1" applyAlignment="1" applyProtection="1" quotePrefix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0" fontId="37" fillId="0" borderId="0" xfId="51" applyFont="1" applyBorder="1" applyProtection="1">
      <alignment/>
      <protection locked="0"/>
    </xf>
    <xf numFmtId="0" fontId="0" fillId="0" borderId="42" xfId="0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 wrapText="1"/>
    </xf>
    <xf numFmtId="172" fontId="0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1" fontId="0" fillId="0" borderId="48" xfId="0" applyNumberFormat="1" applyFont="1" applyFill="1" applyBorder="1" applyAlignment="1" quotePrefix="1">
      <alignment horizontal="center" vertical="center"/>
    </xf>
    <xf numFmtId="1" fontId="0" fillId="0" borderId="4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 quotePrefix="1">
      <alignment horizont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/>
    </xf>
    <xf numFmtId="3" fontId="0" fillId="0" borderId="4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18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2" fontId="37" fillId="34" borderId="50" xfId="0" applyNumberFormat="1" applyFont="1" applyFill="1" applyBorder="1" applyAlignment="1">
      <alignment/>
    </xf>
    <xf numFmtId="172" fontId="0" fillId="0" borderId="4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9" fontId="0" fillId="0" borderId="0" xfId="53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14" fillId="0" borderId="26" xfId="0" applyFont="1" applyBorder="1" applyAlignment="1">
      <alignment/>
    </xf>
    <xf numFmtId="0" fontId="6" fillId="0" borderId="26" xfId="0" applyFont="1" applyBorder="1" applyAlignment="1">
      <alignment vertical="center"/>
    </xf>
    <xf numFmtId="0" fontId="0" fillId="0" borderId="13" xfId="0" applyBorder="1" applyAlignment="1">
      <alignment horizontal="center" wrapText="1"/>
    </xf>
    <xf numFmtId="2" fontId="6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9" fontId="26" fillId="0" borderId="28" xfId="53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6" fillId="0" borderId="17" xfId="0" applyNumberFormat="1" applyFont="1" applyBorder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14" fillId="0" borderId="16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right"/>
    </xf>
    <xf numFmtId="0" fontId="15" fillId="0" borderId="11" xfId="0" applyFont="1" applyBorder="1" applyAlignment="1">
      <alignment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vertical="center"/>
    </xf>
    <xf numFmtId="2" fontId="6" fillId="0" borderId="5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1" xfId="0" applyFont="1" applyBorder="1" applyAlignment="1">
      <alignment horizontal="center"/>
    </xf>
    <xf numFmtId="2" fontId="0" fillId="0" borderId="51" xfId="0" applyNumberFormat="1" applyFont="1" applyFill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/>
    </xf>
    <xf numFmtId="1" fontId="0" fillId="0" borderId="11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/>
    </xf>
    <xf numFmtId="0" fontId="16" fillId="0" borderId="34" xfId="51" applyBorder="1">
      <alignment/>
      <protection/>
    </xf>
    <xf numFmtId="0" fontId="16" fillId="0" borderId="39" xfId="51" applyBorder="1">
      <alignment/>
      <protection/>
    </xf>
    <xf numFmtId="0" fontId="16" fillId="0" borderId="38" xfId="5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1" fontId="0" fillId="0" borderId="48" xfId="0" applyNumberFormat="1" applyFont="1" applyFill="1" applyBorder="1" applyAlignment="1">
      <alignment horizontal="center" vertical="center"/>
    </xf>
    <xf numFmtId="0" fontId="0" fillId="37" borderId="16" xfId="51" applyFont="1" applyFill="1" applyBorder="1" applyAlignment="1" applyProtection="1">
      <alignment horizontal="right"/>
      <protection locked="0"/>
    </xf>
    <xf numFmtId="0" fontId="0" fillId="37" borderId="16" xfId="51" applyFont="1" applyFill="1" applyBorder="1" applyProtection="1">
      <alignment/>
      <protection locked="0"/>
    </xf>
    <xf numFmtId="0" fontId="6" fillId="37" borderId="0" xfId="51" applyFont="1" applyFill="1" applyBorder="1" applyAlignment="1" applyProtection="1">
      <alignment horizontal="left"/>
      <protection locked="0"/>
    </xf>
    <xf numFmtId="0" fontId="0" fillId="37" borderId="43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35" xfId="0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37" borderId="52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/>
      <protection locked="0"/>
    </xf>
    <xf numFmtId="0" fontId="0" fillId="37" borderId="26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/>
      <protection locked="0"/>
    </xf>
    <xf numFmtId="0" fontId="0" fillId="37" borderId="53" xfId="0" applyFill="1" applyBorder="1" applyAlignment="1" applyProtection="1">
      <alignment horizontal="center"/>
      <protection locked="0"/>
    </xf>
    <xf numFmtId="0" fontId="0" fillId="37" borderId="54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55" xfId="0" applyFill="1" applyBorder="1" applyAlignment="1" applyProtection="1">
      <alignment horizontal="center"/>
      <protection locked="0"/>
    </xf>
    <xf numFmtId="0" fontId="0" fillId="37" borderId="0" xfId="0" applyFont="1" applyFill="1" applyAlignment="1" applyProtection="1">
      <alignment/>
      <protection locked="0"/>
    </xf>
    <xf numFmtId="0" fontId="6" fillId="37" borderId="11" xfId="0" applyFont="1" applyFill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 applyProtection="1">
      <alignment horizontal="center" vertical="center"/>
      <protection locked="0"/>
    </xf>
    <xf numFmtId="0" fontId="6" fillId="37" borderId="5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 quotePrefix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3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1" fontId="0" fillId="37" borderId="11" xfId="0" applyNumberFormat="1" applyFont="1" applyFill="1" applyBorder="1" applyAlignment="1" applyProtection="1">
      <alignment horizontal="center"/>
      <protection locked="0"/>
    </xf>
    <xf numFmtId="1" fontId="0" fillId="37" borderId="13" xfId="0" applyNumberFormat="1" applyFont="1" applyFill="1" applyBorder="1" applyAlignment="1" applyProtection="1">
      <alignment horizontal="center"/>
      <protection locked="0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37" borderId="0" xfId="0" applyFill="1" applyAlignment="1" applyProtection="1">
      <alignment/>
      <protection locked="0"/>
    </xf>
    <xf numFmtId="172" fontId="0" fillId="37" borderId="0" xfId="0" applyNumberFormat="1" applyFill="1" applyAlignment="1" applyProtection="1">
      <alignment/>
      <protection locked="0"/>
    </xf>
    <xf numFmtId="9" fontId="0" fillId="37" borderId="0" xfId="0" applyNumberFormat="1" applyFill="1" applyAlignment="1" applyProtection="1">
      <alignment horizontal="center"/>
      <protection locked="0"/>
    </xf>
    <xf numFmtId="9" fontId="0" fillId="37" borderId="0" xfId="0" applyNumberForma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/>
      <protection locked="0"/>
    </xf>
    <xf numFmtId="1" fontId="0" fillId="37" borderId="0" xfId="0" applyNumberFormat="1" applyFont="1" applyFill="1" applyBorder="1" applyAlignment="1" applyProtection="1">
      <alignment/>
      <protection locked="0"/>
    </xf>
    <xf numFmtId="1" fontId="0" fillId="37" borderId="16" xfId="0" applyNumberFormat="1" applyFont="1" applyFill="1" applyBorder="1" applyAlignment="1" applyProtection="1">
      <alignment/>
      <protection locked="0"/>
    </xf>
    <xf numFmtId="0" fontId="4" fillId="37" borderId="16" xfId="0" applyFont="1" applyFill="1" applyBorder="1" applyAlignment="1" applyProtection="1">
      <alignment/>
      <protection locked="0"/>
    </xf>
    <xf numFmtId="2" fontId="4" fillId="37" borderId="16" xfId="0" applyNumberFormat="1" applyFont="1" applyFill="1" applyBorder="1" applyAlignment="1" applyProtection="1">
      <alignment/>
      <protection locked="0"/>
    </xf>
    <xf numFmtId="0" fontId="38" fillId="0" borderId="10" xfId="51" applyFont="1" applyBorder="1" applyAlignment="1" applyProtection="1">
      <alignment horizontal="center"/>
      <protection/>
    </xf>
    <xf numFmtId="0" fontId="38" fillId="0" borderId="0" xfId="5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6" xfId="51" applyFont="1" applyFill="1" applyBorder="1" applyAlignment="1" applyProtection="1">
      <alignment horizontal="left"/>
      <protection locked="0"/>
    </xf>
    <xf numFmtId="14" fontId="0" fillId="0" borderId="27" xfId="51" applyNumberFormat="1" applyFont="1" applyFill="1" applyBorder="1" applyAlignment="1" applyProtection="1">
      <alignment horizontal="center"/>
      <protection locked="0"/>
    </xf>
    <xf numFmtId="0" fontId="0" fillId="0" borderId="27" xfId="51" applyFont="1" applyFill="1" applyBorder="1" applyAlignment="1" applyProtection="1">
      <alignment horizontal="center"/>
      <protection locked="0"/>
    </xf>
    <xf numFmtId="0" fontId="0" fillId="0" borderId="16" xfId="51" applyFont="1" applyFill="1" applyBorder="1" applyAlignment="1" applyProtection="1">
      <alignment horizontal="center"/>
      <protection locked="0"/>
    </xf>
    <xf numFmtId="0" fontId="0" fillId="37" borderId="27" xfId="51" applyFont="1" applyFill="1" applyBorder="1" applyAlignment="1" applyProtection="1">
      <alignment horizontal="left"/>
      <protection locked="0"/>
    </xf>
    <xf numFmtId="0" fontId="0" fillId="0" borderId="27" xfId="51" applyFont="1" applyFill="1" applyBorder="1" applyAlignment="1" applyProtection="1">
      <alignment horizontal="left"/>
      <protection locked="0"/>
    </xf>
    <xf numFmtId="0" fontId="0" fillId="0" borderId="16" xfId="51" applyFont="1" applyFill="1" applyBorder="1" applyAlignment="1" applyProtection="1">
      <alignment horizontal="left"/>
      <protection locked="0"/>
    </xf>
    <xf numFmtId="3" fontId="0" fillId="0" borderId="27" xfId="51" applyNumberFormat="1" applyFont="1" applyFill="1" applyBorder="1" applyAlignment="1" applyProtection="1">
      <alignment/>
      <protection locked="0"/>
    </xf>
    <xf numFmtId="173" fontId="0" fillId="0" borderId="27" xfId="51" applyNumberFormat="1" applyFont="1" applyFill="1" applyBorder="1" applyAlignment="1" applyProtection="1">
      <alignment/>
      <protection locked="0"/>
    </xf>
    <xf numFmtId="0" fontId="0" fillId="0" borderId="16" xfId="51" applyNumberFormat="1" applyFont="1" applyFill="1" applyBorder="1" applyAlignment="1" applyProtection="1">
      <alignment horizontal="left"/>
      <protection locked="0"/>
    </xf>
    <xf numFmtId="0" fontId="0" fillId="37" borderId="16" xfId="51" applyFont="1" applyFill="1" applyBorder="1" applyAlignment="1" applyProtection="1">
      <alignment horizontal="left"/>
      <protection locked="0"/>
    </xf>
    <xf numFmtId="0" fontId="0" fillId="0" borderId="16" xfId="51" applyFont="1" applyFill="1" applyBorder="1" applyAlignment="1" applyProtection="1">
      <alignment/>
      <protection locked="0"/>
    </xf>
    <xf numFmtId="14" fontId="0" fillId="0" borderId="16" xfId="51" applyNumberFormat="1" applyFont="1" applyFill="1" applyBorder="1" applyAlignment="1" applyProtection="1">
      <alignment horizontal="center"/>
      <protection locked="0"/>
    </xf>
    <xf numFmtId="0" fontId="0" fillId="0" borderId="16" xfId="5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16" xfId="51" applyNumberFormat="1" applyFont="1" applyFill="1" applyBorder="1" applyAlignment="1" applyProtection="1">
      <alignment horizontal="center"/>
      <protection locked="0"/>
    </xf>
    <xf numFmtId="0" fontId="0" fillId="0" borderId="0" xfId="51" applyFont="1" applyFill="1" applyBorder="1" applyAlignment="1" applyProtection="1">
      <alignment horizontal="left"/>
      <protection locked="0"/>
    </xf>
    <xf numFmtId="0" fontId="39" fillId="0" borderId="0" xfId="51" applyFont="1" applyBorder="1" applyAlignment="1" applyProtection="1">
      <alignment horizontal="center"/>
      <protection/>
    </xf>
    <xf numFmtId="0" fontId="39" fillId="0" borderId="36" xfId="51" applyFont="1" applyBorder="1" applyAlignment="1" applyProtection="1">
      <alignment horizontal="center"/>
      <protection/>
    </xf>
    <xf numFmtId="0" fontId="16" fillId="0" borderId="27" xfId="51" applyBorder="1" applyAlignment="1">
      <alignment horizontal="left"/>
      <protection/>
    </xf>
    <xf numFmtId="0" fontId="11" fillId="0" borderId="16" xfId="44" applyFill="1" applyBorder="1" applyAlignment="1" applyProtection="1">
      <alignment horizontal="center"/>
      <protection locked="0"/>
    </xf>
    <xf numFmtId="0" fontId="16" fillId="0" borderId="16" xfId="51" applyFill="1" applyBorder="1" applyAlignment="1" applyProtection="1">
      <alignment horizontal="center"/>
      <protection locked="0"/>
    </xf>
    <xf numFmtId="0" fontId="11" fillId="37" borderId="16" xfId="44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7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37" borderId="35" xfId="0" applyFill="1" applyBorder="1" applyAlignment="1" applyProtection="1">
      <alignment horizontal="left"/>
      <protection locked="0"/>
    </xf>
    <xf numFmtId="0" fontId="0" fillId="37" borderId="60" xfId="0" applyFill="1" applyBorder="1" applyAlignment="1" applyProtection="1">
      <alignment horizontal="left"/>
      <protection locked="0"/>
    </xf>
    <xf numFmtId="0" fontId="0" fillId="37" borderId="11" xfId="0" applyFill="1" applyBorder="1" applyAlignment="1" applyProtection="1">
      <alignment horizontal="left"/>
      <protection locked="0"/>
    </xf>
    <xf numFmtId="0" fontId="0" fillId="37" borderId="61" xfId="0" applyFill="1" applyBorder="1" applyAlignment="1" applyProtection="1">
      <alignment horizontal="left"/>
      <protection locked="0"/>
    </xf>
    <xf numFmtId="0" fontId="0" fillId="37" borderId="43" xfId="0" applyFill="1" applyBorder="1" applyAlignment="1" applyProtection="1">
      <alignment horizontal="left"/>
      <protection locked="0"/>
    </xf>
    <xf numFmtId="0" fontId="0" fillId="37" borderId="62" xfId="0" applyFill="1" applyBorder="1" applyAlignment="1" applyProtection="1">
      <alignment horizontal="left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4" fillId="0" borderId="6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center" vertical="top" wrapText="1"/>
      <protection/>
    </xf>
    <xf numFmtId="0" fontId="0" fillId="0" borderId="2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3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37" borderId="27" xfId="0" applyFont="1" applyFill="1" applyBorder="1" applyAlignment="1" applyProtection="1">
      <alignment horizontal="left"/>
      <protection locked="0"/>
    </xf>
    <xf numFmtId="0" fontId="0" fillId="37" borderId="16" xfId="0" applyFont="1" applyFill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indent="2"/>
    </xf>
    <xf numFmtId="0" fontId="0" fillId="37" borderId="0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4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3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5" fillId="37" borderId="34" xfId="0" applyFont="1" applyFill="1" applyBorder="1" applyAlignment="1">
      <alignment horizontal="center" vertical="top" wrapText="1"/>
    </xf>
    <xf numFmtId="0" fontId="1" fillId="37" borderId="39" xfId="0" applyFont="1" applyFill="1" applyBorder="1" applyAlignment="1">
      <alignment horizontal="center" vertical="top"/>
    </xf>
    <xf numFmtId="0" fontId="1" fillId="37" borderId="38" xfId="0" applyFont="1" applyFill="1" applyBorder="1" applyAlignment="1">
      <alignment horizontal="center" vertical="top"/>
    </xf>
    <xf numFmtId="0" fontId="15" fillId="37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top" wrapText="1"/>
    </xf>
    <xf numFmtId="0" fontId="15" fillId="37" borderId="1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0" fillId="0" borderId="26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2" fontId="6" fillId="0" borderId="2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9" fontId="26" fillId="0" borderId="34" xfId="53" applyFont="1" applyBorder="1" applyAlignment="1">
      <alignment horizontal="center" vertical="center"/>
    </xf>
    <xf numFmtId="9" fontId="26" fillId="0" borderId="38" xfId="53" applyFont="1" applyBorder="1" applyAlignment="1">
      <alignment horizontal="center" vertical="center"/>
    </xf>
    <xf numFmtId="9" fontId="26" fillId="0" borderId="10" xfId="53" applyFont="1" applyBorder="1" applyAlignment="1">
      <alignment horizontal="center" vertical="center"/>
    </xf>
    <xf numFmtId="9" fontId="26" fillId="0" borderId="36" xfId="53" applyFont="1" applyBorder="1" applyAlignment="1">
      <alignment horizontal="center" vertical="center"/>
    </xf>
    <xf numFmtId="9" fontId="26" fillId="0" borderId="12" xfId="53" applyFont="1" applyBorder="1" applyAlignment="1">
      <alignment horizontal="center" vertical="center"/>
    </xf>
    <xf numFmtId="9" fontId="26" fillId="0" borderId="17" xfId="53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f_F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7">
    <dxf>
      <font>
        <color indexed="9"/>
      </font>
    </dxf>
    <dxf/>
    <dxf>
      <font>
        <color indexed="9"/>
      </font>
    </dxf>
    <dxf/>
    <dxf/>
    <dxf/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44</xdr:row>
      <xdr:rowOff>38100</xdr:rowOff>
    </xdr:from>
    <xdr:to>
      <xdr:col>17</xdr:col>
      <xdr:colOff>361950</xdr:colOff>
      <xdr:row>51</xdr:row>
      <xdr:rowOff>85725</xdr:rowOff>
    </xdr:to>
    <xdr:sp>
      <xdr:nvSpPr>
        <xdr:cNvPr id="1" name="AutoShape 6"/>
        <xdr:cNvSpPr>
          <a:spLocks/>
        </xdr:cNvSpPr>
      </xdr:nvSpPr>
      <xdr:spPr>
        <a:xfrm>
          <a:off x="6524625" y="7172325"/>
          <a:ext cx="2609850" cy="1133475"/>
        </a:xfrm>
        <a:prstGeom prst="cloudCallout">
          <a:avLst>
            <a:gd name="adj1" fmla="val -73356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surfaces de silo collectant l'eau de pluie qui est dirigée vers la fosse doivent être ajoutées manuellement dans la page "fosse+fumière" 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51</xdr:row>
      <xdr:rowOff>38100</xdr:rowOff>
    </xdr:from>
    <xdr:to>
      <xdr:col>2</xdr:col>
      <xdr:colOff>123825</xdr:colOff>
      <xdr:row>52</xdr:row>
      <xdr:rowOff>76200</xdr:rowOff>
    </xdr:to>
    <xdr:sp>
      <xdr:nvSpPr>
        <xdr:cNvPr id="1" name="Texte 5"/>
        <xdr:cNvSpPr txBox="1">
          <a:spLocks noChangeArrowheads="1"/>
        </xdr:cNvSpPr>
      </xdr:nvSpPr>
      <xdr:spPr>
        <a:xfrm>
          <a:off x="2124075" y="896302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UGBF épurés</a:t>
          </a:r>
        </a:p>
      </xdr:txBody>
    </xdr:sp>
    <xdr:clientData/>
  </xdr:twoCellAnchor>
  <xdr:twoCellAnchor>
    <xdr:from>
      <xdr:col>0</xdr:col>
      <xdr:colOff>1962150</xdr:colOff>
      <xdr:row>53</xdr:row>
      <xdr:rowOff>19050</xdr:rowOff>
    </xdr:from>
    <xdr:to>
      <xdr:col>2</xdr:col>
      <xdr:colOff>295275</xdr:colOff>
      <xdr:row>54</xdr:row>
      <xdr:rowOff>19050</xdr:rowOff>
    </xdr:to>
    <xdr:sp>
      <xdr:nvSpPr>
        <xdr:cNvPr id="2" name="Texte 6"/>
        <xdr:cNvSpPr txBox="1">
          <a:spLocks noChangeArrowheads="1"/>
        </xdr:cNvSpPr>
      </xdr:nvSpPr>
      <xdr:spPr>
        <a:xfrm>
          <a:off x="1962150" y="9286875"/>
          <a:ext cx="1171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 d'épandage</a:t>
          </a:r>
        </a:p>
      </xdr:txBody>
    </xdr:sp>
    <xdr:clientData/>
  </xdr:twoCellAnchor>
  <xdr:twoCellAnchor>
    <xdr:from>
      <xdr:col>0</xdr:col>
      <xdr:colOff>2057400</xdr:colOff>
      <xdr:row>52</xdr:row>
      <xdr:rowOff>114300</xdr:rowOff>
    </xdr:from>
    <xdr:to>
      <xdr:col>2</xdr:col>
      <xdr:colOff>180975</xdr:colOff>
      <xdr:row>52</xdr:row>
      <xdr:rowOff>123825</xdr:rowOff>
    </xdr:to>
    <xdr:sp>
      <xdr:nvSpPr>
        <xdr:cNvPr id="3" name="Line 7"/>
        <xdr:cNvSpPr>
          <a:spLocks/>
        </xdr:cNvSpPr>
      </xdr:nvSpPr>
      <xdr:spPr>
        <a:xfrm>
          <a:off x="2057400" y="920115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52</xdr:row>
      <xdr:rowOff>28575</xdr:rowOff>
    </xdr:from>
    <xdr:to>
      <xdr:col>2</xdr:col>
      <xdr:colOff>419100</xdr:colOff>
      <xdr:row>53</xdr:row>
      <xdr:rowOff>28575</xdr:rowOff>
    </xdr:to>
    <xdr:sp>
      <xdr:nvSpPr>
        <xdr:cNvPr id="4" name="Texte 8"/>
        <xdr:cNvSpPr txBox="1">
          <a:spLocks noChangeArrowheads="1"/>
        </xdr:cNvSpPr>
      </xdr:nvSpPr>
      <xdr:spPr>
        <a:xfrm>
          <a:off x="3114675" y="91154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
</a:t>
          </a:r>
        </a:p>
      </xdr:txBody>
    </xdr:sp>
    <xdr:clientData/>
  </xdr:twoCellAnchor>
  <xdr:twoCellAnchor>
    <xdr:from>
      <xdr:col>2</xdr:col>
      <xdr:colOff>733425</xdr:colOff>
      <xdr:row>52</xdr:row>
      <xdr:rowOff>85725</xdr:rowOff>
    </xdr:from>
    <xdr:to>
      <xdr:col>4</xdr:col>
      <xdr:colOff>19050</xdr:colOff>
      <xdr:row>52</xdr:row>
      <xdr:rowOff>85725</xdr:rowOff>
    </xdr:to>
    <xdr:sp>
      <xdr:nvSpPr>
        <xdr:cNvPr id="5" name="Line 10"/>
        <xdr:cNvSpPr>
          <a:spLocks/>
        </xdr:cNvSpPr>
      </xdr:nvSpPr>
      <xdr:spPr>
        <a:xfrm flipH="1">
          <a:off x="3571875" y="9172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200025</xdr:colOff>
      <xdr:row>52</xdr:row>
      <xdr:rowOff>142875</xdr:rowOff>
    </xdr:to>
    <xdr:sp>
      <xdr:nvSpPr>
        <xdr:cNvPr id="6" name="Texte 11"/>
        <xdr:cNvSpPr txBox="1">
          <a:spLocks noChangeArrowheads="1"/>
        </xdr:cNvSpPr>
      </xdr:nvSpPr>
      <xdr:spPr>
        <a:xfrm>
          <a:off x="4219575" y="90868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38</xdr:row>
      <xdr:rowOff>19050</xdr:rowOff>
    </xdr:from>
    <xdr:to>
      <xdr:col>3</xdr:col>
      <xdr:colOff>0</xdr:colOff>
      <xdr:row>43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219825"/>
          <a:ext cx="23050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990600</xdr:colOff>
      <xdr:row>30</xdr:row>
      <xdr:rowOff>219075</xdr:rowOff>
    </xdr:from>
    <xdr:to>
      <xdr:col>2</xdr:col>
      <xdr:colOff>533400</xdr:colOff>
      <xdr:row>37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057775"/>
          <a:ext cx="22860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volfos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propr01\opr-wp\Section%20protection%20eaux\Agriculture\fef\fef\fef_buwal%20version%20X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.ch/sen/files/xls1/Raumprogram%204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.ch/sen/files/xls1/fef\fef_buwal%20version%20X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</sheetNames>
    <sheetDataSet>
      <sheetData sheetId="2">
        <row r="31">
          <cell r="K31">
            <v>0</v>
          </cell>
        </row>
        <row r="46">
          <cell r="K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e base"/>
      <sheetName val="Eaux usées + volume total"/>
    </sheetNames>
    <sheetDataSet>
      <sheetData sheetId="1">
        <row r="46">
          <cell r="J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g."/>
      <sheetName val="Gebäude"/>
      <sheetName val="Tiere und Stallsystem"/>
      <sheetName val="Tierzahl"/>
      <sheetName val="Grube+Mistplatz"/>
      <sheetName val="Berechnung gemäss Gelan"/>
      <sheetName val="Futterraum"/>
      <sheetName val="Diverse Normen"/>
      <sheetName val="Hilfe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e base"/>
      <sheetName val="Eaux usées + volume total"/>
    </sheetNames>
    <sheetDataSet>
      <sheetData sheetId="1">
        <row r="46">
          <cell r="J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AC2580"/>
  <sheetViews>
    <sheetView showGridLines="0" showZeros="0" tabSelected="1" zoomScalePageLayoutView="0" workbookViewId="0" topLeftCell="A1">
      <selection activeCell="U8" sqref="U8"/>
    </sheetView>
  </sheetViews>
  <sheetFormatPr defaultColWidth="9.140625" defaultRowHeight="12.75"/>
  <cols>
    <col min="1" max="1" width="7.28125" style="92" customWidth="1"/>
    <col min="2" max="2" width="6.140625" style="92" customWidth="1"/>
    <col min="3" max="3" width="5.00390625" style="92" customWidth="1"/>
    <col min="4" max="4" width="4.8515625" style="92" customWidth="1"/>
    <col min="5" max="5" width="6.57421875" style="92" customWidth="1"/>
    <col min="6" max="6" width="1.57421875" style="92" customWidth="1"/>
    <col min="7" max="7" width="10.28125" style="92" customWidth="1"/>
    <col min="8" max="8" width="4.7109375" style="92" customWidth="1"/>
    <col min="9" max="9" width="2.57421875" style="92" customWidth="1"/>
    <col min="10" max="10" width="5.140625" style="92" customWidth="1"/>
    <col min="11" max="11" width="11.421875" style="92" customWidth="1"/>
    <col min="12" max="12" width="8.8515625" style="92" customWidth="1"/>
    <col min="13" max="13" width="11.8515625" style="92" customWidth="1"/>
    <col min="14" max="14" width="7.8515625" style="92" customWidth="1"/>
    <col min="15" max="15" width="6.140625" style="92" customWidth="1"/>
    <col min="16" max="16" width="2.28125" style="92" customWidth="1"/>
    <col min="17" max="17" width="29.00390625" style="92" customWidth="1"/>
    <col min="18" max="24" width="9.28125" style="92" customWidth="1"/>
    <col min="25" max="16384" width="9.140625" style="92" customWidth="1"/>
  </cols>
  <sheetData>
    <row r="1" ht="6.75" customHeight="1"/>
    <row r="2" spans="1:15" ht="8.2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60"/>
    </row>
    <row r="3" spans="1:27" s="216" customFormat="1" ht="30">
      <c r="A3" s="912" t="s">
        <v>544</v>
      </c>
      <c r="B3" s="913"/>
      <c r="C3" s="913"/>
      <c r="D3" s="913"/>
      <c r="E3" s="913"/>
      <c r="F3" s="914"/>
      <c r="G3" s="914"/>
      <c r="H3" s="914"/>
      <c r="I3" s="914"/>
      <c r="J3" s="914"/>
      <c r="K3" s="914"/>
      <c r="L3" s="935" t="s">
        <v>505</v>
      </c>
      <c r="M3" s="935"/>
      <c r="N3" s="935"/>
      <c r="O3" s="936"/>
      <c r="P3" s="77"/>
      <c r="Q3" s="263"/>
      <c r="R3" s="263"/>
      <c r="S3" s="263"/>
      <c r="T3" s="263"/>
      <c r="U3" s="262"/>
      <c r="V3" s="262"/>
      <c r="W3" s="262"/>
      <c r="X3" s="262"/>
      <c r="Y3" s="262"/>
      <c r="Z3" s="262"/>
      <c r="AA3" s="262"/>
    </row>
    <row r="4" spans="1:27" s="238" customFormat="1" ht="8.25" customHeight="1">
      <c r="A4" s="81"/>
      <c r="B4" s="82"/>
      <c r="C4" s="83"/>
      <c r="D4" s="84"/>
      <c r="E4" s="82"/>
      <c r="F4" s="84"/>
      <c r="G4" s="82"/>
      <c r="H4" s="82"/>
      <c r="I4" s="83"/>
      <c r="J4" s="83"/>
      <c r="K4" s="84"/>
      <c r="L4" s="84"/>
      <c r="M4" s="83"/>
      <c r="N4" s="84"/>
      <c r="O4" s="85"/>
      <c r="P4" s="80"/>
      <c r="Q4" s="294"/>
      <c r="R4" s="294"/>
      <c r="S4" s="294"/>
      <c r="T4" s="294"/>
      <c r="U4" s="169"/>
      <c r="V4" s="169"/>
      <c r="W4" s="169"/>
      <c r="X4" s="169"/>
      <c r="Y4" s="169"/>
      <c r="Z4" s="169"/>
      <c r="AA4" s="169"/>
    </row>
    <row r="5" spans="1:27" s="154" customFormat="1" ht="30" customHeight="1">
      <c r="A5" s="86" t="s">
        <v>502</v>
      </c>
      <c r="B5" s="86"/>
      <c r="C5" s="86"/>
      <c r="D5" s="86"/>
      <c r="E5" s="86"/>
      <c r="F5" s="86"/>
      <c r="G5" s="86"/>
      <c r="H5" s="87"/>
      <c r="I5" s="87"/>
      <c r="J5" s="87"/>
      <c r="K5" s="87"/>
      <c r="L5" s="474"/>
      <c r="M5" s="475"/>
      <c r="N5" s="476"/>
      <c r="O5" s="89"/>
      <c r="P5" s="90"/>
      <c r="Q5" s="109"/>
      <c r="R5" s="109"/>
      <c r="S5" s="109"/>
      <c r="T5" s="109"/>
      <c r="U5" s="168"/>
      <c r="V5" s="168"/>
      <c r="W5" s="168"/>
      <c r="X5" s="168"/>
      <c r="Y5" s="168"/>
      <c r="Z5" s="168"/>
      <c r="AA5" s="168"/>
    </row>
    <row r="6" spans="1:27" s="154" customFormat="1" ht="15" customHeight="1">
      <c r="A6" s="477" t="s">
        <v>19</v>
      </c>
      <c r="B6" s="93"/>
      <c r="C6" s="98"/>
      <c r="D6" s="915"/>
      <c r="E6" s="915"/>
      <c r="F6" s="915"/>
      <c r="K6" s="94" t="s">
        <v>20</v>
      </c>
      <c r="L6" s="940"/>
      <c r="M6" s="940"/>
      <c r="N6" s="940"/>
      <c r="O6" s="940"/>
      <c r="P6" s="90"/>
      <c r="Q6" s="109"/>
      <c r="U6" s="168"/>
      <c r="V6" s="168"/>
      <c r="W6" s="168"/>
      <c r="X6" s="168"/>
      <c r="Y6" s="168"/>
      <c r="Z6" s="168"/>
      <c r="AA6" s="168"/>
    </row>
    <row r="7" spans="1:27" s="154" customFormat="1" ht="15" customHeight="1">
      <c r="A7" s="479"/>
      <c r="B7" s="94" t="s">
        <v>21</v>
      </c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7" t="s">
        <v>18</v>
      </c>
      <c r="N7" s="919"/>
      <c r="O7" s="919"/>
      <c r="P7" s="90"/>
      <c r="Q7" s="419"/>
      <c r="U7" s="168"/>
      <c r="V7" s="168"/>
      <c r="W7" s="168"/>
      <c r="X7" s="168"/>
      <c r="Y7" s="168"/>
      <c r="Z7" s="168"/>
      <c r="AA7" s="168"/>
    </row>
    <row r="8" spans="1:27" s="154" customFormat="1" ht="15" customHeight="1">
      <c r="A8" s="479"/>
      <c r="B8" s="480" t="s">
        <v>14</v>
      </c>
      <c r="C8" s="919"/>
      <c r="D8" s="919"/>
      <c r="E8" s="919"/>
      <c r="F8" s="919"/>
      <c r="G8" s="919"/>
      <c r="H8" s="919"/>
      <c r="I8" s="919"/>
      <c r="J8" s="919"/>
      <c r="K8" s="919"/>
      <c r="L8" s="919"/>
      <c r="M8" s="480" t="s">
        <v>160</v>
      </c>
      <c r="N8" s="919"/>
      <c r="O8" s="919"/>
      <c r="P8" s="90"/>
      <c r="Q8" s="109"/>
      <c r="U8" s="168"/>
      <c r="V8" s="168"/>
      <c r="W8" s="168"/>
      <c r="X8" s="168"/>
      <c r="Y8" s="168"/>
      <c r="Z8" s="168"/>
      <c r="AA8" s="168"/>
    </row>
    <row r="9" spans="1:27" s="154" customFormat="1" ht="15" customHeight="1">
      <c r="A9" s="93" t="s">
        <v>16</v>
      </c>
      <c r="B9" s="98"/>
      <c r="C9" s="98"/>
      <c r="D9" s="920"/>
      <c r="E9" s="920"/>
      <c r="F9" s="920"/>
      <c r="G9" s="920"/>
      <c r="M9" s="738" t="s">
        <v>270</v>
      </c>
      <c r="N9" s="919"/>
      <c r="O9" s="919"/>
      <c r="P9" s="90"/>
      <c r="Q9" s="109"/>
      <c r="U9" s="168"/>
      <c r="V9" s="168"/>
      <c r="W9" s="168"/>
      <c r="X9" s="168"/>
      <c r="Y9" s="168"/>
      <c r="Z9" s="168"/>
      <c r="AA9" s="168"/>
    </row>
    <row r="10" spans="3:27" s="154" customFormat="1" ht="15" customHeight="1">
      <c r="C10" s="97" t="s">
        <v>269</v>
      </c>
      <c r="D10" s="920"/>
      <c r="E10" s="920"/>
      <c r="F10" s="920"/>
      <c r="G10" s="920"/>
      <c r="H10" s="110" t="s">
        <v>17</v>
      </c>
      <c r="I10" s="478"/>
      <c r="J10" s="110"/>
      <c r="K10" s="915"/>
      <c r="L10" s="915"/>
      <c r="M10" s="915"/>
      <c r="N10" s="915"/>
      <c r="O10" s="915"/>
      <c r="P10" s="90"/>
      <c r="Q10" s="109"/>
      <c r="U10" s="168"/>
      <c r="V10" s="168"/>
      <c r="W10" s="168"/>
      <c r="X10" s="168"/>
      <c r="Y10" s="168"/>
      <c r="Z10" s="168"/>
      <c r="AA10" s="168"/>
    </row>
    <row r="11" spans="16:27" s="154" customFormat="1" ht="7.5" customHeight="1">
      <c r="P11" s="90"/>
      <c r="Q11" s="109"/>
      <c r="R11" s="109"/>
      <c r="S11" s="109"/>
      <c r="T11" s="109"/>
      <c r="U11" s="168"/>
      <c r="V11" s="168"/>
      <c r="W11" s="168"/>
      <c r="X11" s="168"/>
      <c r="Y11" s="168"/>
      <c r="Z11" s="168"/>
      <c r="AA11" s="168"/>
    </row>
    <row r="12" spans="1:27" s="154" customFormat="1" ht="6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90"/>
      <c r="Q12" s="109"/>
      <c r="V12" s="168"/>
      <c r="W12" s="168"/>
      <c r="X12" s="168"/>
      <c r="Y12" s="168"/>
      <c r="Z12" s="168"/>
      <c r="AA12" s="168"/>
    </row>
    <row r="13" spans="16:27" s="154" customFormat="1" ht="8.25" customHeight="1">
      <c r="P13" s="90"/>
      <c r="Q13" s="418"/>
      <c r="R13" s="109"/>
      <c r="S13" s="109"/>
      <c r="T13" s="109"/>
      <c r="U13" s="168"/>
      <c r="V13" s="168"/>
      <c r="W13" s="168"/>
      <c r="X13" s="168"/>
      <c r="Y13" s="168"/>
      <c r="Z13" s="168"/>
      <c r="AA13" s="168"/>
    </row>
    <row r="14" spans="1:27" s="154" customFormat="1" ht="15" customHeight="1">
      <c r="A14" s="482" t="s">
        <v>223</v>
      </c>
      <c r="B14" s="479"/>
      <c r="C14" s="99"/>
      <c r="D14" s="915"/>
      <c r="E14" s="915"/>
      <c r="F14" s="99"/>
      <c r="G14" s="93" t="s">
        <v>224</v>
      </c>
      <c r="H14" s="93"/>
      <c r="I14" s="483"/>
      <c r="J14" s="915"/>
      <c r="K14" s="915"/>
      <c r="L14" s="915"/>
      <c r="M14" s="915"/>
      <c r="N14" s="915"/>
      <c r="O14" s="915"/>
      <c r="P14" s="109"/>
      <c r="Q14" s="109"/>
      <c r="R14" s="109"/>
      <c r="S14" s="109"/>
      <c r="T14" s="109"/>
      <c r="U14" s="168"/>
      <c r="V14" s="168"/>
      <c r="W14" s="168"/>
      <c r="X14" s="168"/>
      <c r="Y14" s="168"/>
      <c r="Z14" s="168"/>
      <c r="AA14" s="168"/>
    </row>
    <row r="15" spans="1:27" s="154" customFormat="1" ht="15" customHeight="1">
      <c r="A15" s="93" t="s">
        <v>3</v>
      </c>
      <c r="B15" s="93"/>
      <c r="C15" s="926"/>
      <c r="D15" s="926"/>
      <c r="E15" s="926"/>
      <c r="F15" s="926"/>
      <c r="G15" s="926"/>
      <c r="H15" s="926"/>
      <c r="I15" s="483"/>
      <c r="J15" s="100" t="s">
        <v>1</v>
      </c>
      <c r="K15" s="474"/>
      <c r="L15" s="96"/>
      <c r="M15" s="188" t="s">
        <v>504</v>
      </c>
      <c r="N15" s="937"/>
      <c r="O15" s="937"/>
      <c r="P15" s="90"/>
      <c r="Q15" s="109"/>
      <c r="R15" s="109"/>
      <c r="S15" s="109"/>
      <c r="T15" s="109"/>
      <c r="U15" s="168"/>
      <c r="V15" s="168"/>
      <c r="W15" s="168"/>
      <c r="X15" s="168"/>
      <c r="Y15" s="168"/>
      <c r="Z15" s="168"/>
      <c r="AA15" s="168"/>
    </row>
    <row r="16" spans="1:27" s="154" customFormat="1" ht="15" customHeight="1">
      <c r="A16" s="93" t="s">
        <v>5</v>
      </c>
      <c r="B16" s="93"/>
      <c r="C16" s="93"/>
      <c r="D16" s="922"/>
      <c r="E16" s="922"/>
      <c r="F16" s="527" t="s">
        <v>6</v>
      </c>
      <c r="G16" s="922"/>
      <c r="H16" s="922"/>
      <c r="I16" s="483"/>
      <c r="K16" s="100" t="s">
        <v>2</v>
      </c>
      <c r="L16" s="619"/>
      <c r="N16" s="99"/>
      <c r="O16" s="479"/>
      <c r="P16" s="106"/>
      <c r="Q16" s="792">
        <v>1</v>
      </c>
      <c r="R16" s="109"/>
      <c r="S16" s="109"/>
      <c r="T16" s="109"/>
      <c r="U16" s="168"/>
      <c r="V16" s="168"/>
      <c r="W16" s="168"/>
      <c r="X16" s="168"/>
      <c r="Y16" s="168"/>
      <c r="Z16" s="168"/>
      <c r="AA16" s="168"/>
    </row>
    <row r="17" spans="1:27" s="154" customFormat="1" ht="15" customHeight="1">
      <c r="A17" s="100" t="s">
        <v>8</v>
      </c>
      <c r="B17" s="93"/>
      <c r="C17" s="93"/>
      <c r="D17" s="104"/>
      <c r="E17" s="528"/>
      <c r="F17" s="114"/>
      <c r="G17" s="923"/>
      <c r="H17" s="923"/>
      <c r="I17" s="483"/>
      <c r="K17" s="93" t="s">
        <v>7</v>
      </c>
      <c r="L17" s="865"/>
      <c r="M17" s="98" t="s">
        <v>159</v>
      </c>
      <c r="N17" s="99"/>
      <c r="O17" s="479"/>
      <c r="P17" s="106"/>
      <c r="Q17" s="109"/>
      <c r="R17" s="109"/>
      <c r="S17" s="109"/>
      <c r="T17" s="109"/>
      <c r="U17" s="168"/>
      <c r="V17" s="168"/>
      <c r="W17" s="168"/>
      <c r="X17" s="168"/>
      <c r="Y17" s="168"/>
      <c r="Z17" s="168"/>
      <c r="AA17" s="168"/>
    </row>
    <row r="18" spans="1:27" s="154" customFormat="1" ht="15" customHeight="1">
      <c r="A18" s="93" t="s">
        <v>9</v>
      </c>
      <c r="C18" s="934" t="s">
        <v>10</v>
      </c>
      <c r="D18" s="934"/>
      <c r="E18" s="93" t="s">
        <v>11</v>
      </c>
      <c r="F18" s="479"/>
      <c r="G18" s="920"/>
      <c r="H18" s="920"/>
      <c r="I18" s="483"/>
      <c r="K18" s="93" t="s">
        <v>4</v>
      </c>
      <c r="L18" s="620"/>
      <c r="P18" s="112"/>
      <c r="Q18" s="419"/>
      <c r="R18" s="109"/>
      <c r="S18" s="109"/>
      <c r="T18" s="109"/>
      <c r="U18" s="168"/>
      <c r="V18" s="168"/>
      <c r="W18" s="168"/>
      <c r="X18" s="168"/>
      <c r="Y18" s="168"/>
      <c r="Z18" s="168"/>
      <c r="AA18" s="168"/>
    </row>
    <row r="19" spans="1:27" s="154" customFormat="1" ht="6" customHeight="1">
      <c r="A19" s="113"/>
      <c r="B19" s="113"/>
      <c r="C19" s="113"/>
      <c r="D19" s="113"/>
      <c r="E19" s="95"/>
      <c r="F19" s="95"/>
      <c r="G19" s="95"/>
      <c r="H19" s="95"/>
      <c r="I19" s="95"/>
      <c r="J19" s="95"/>
      <c r="K19" s="113"/>
      <c r="L19" s="95"/>
      <c r="M19" s="113"/>
      <c r="N19" s="95"/>
      <c r="O19" s="95"/>
      <c r="P19" s="90"/>
      <c r="Q19" s="109"/>
      <c r="R19" s="109"/>
      <c r="S19" s="109"/>
      <c r="T19" s="109"/>
      <c r="U19" s="168"/>
      <c r="V19" s="168"/>
      <c r="W19" s="168"/>
      <c r="X19" s="168"/>
      <c r="Y19" s="168"/>
      <c r="Z19" s="168"/>
      <c r="AA19" s="168"/>
    </row>
    <row r="20" spans="1:27" s="154" customFormat="1" ht="6.75" customHeight="1">
      <c r="A20" s="94"/>
      <c r="B20" s="94"/>
      <c r="C20" s="94"/>
      <c r="D20" s="94"/>
      <c r="E20" s="99"/>
      <c r="F20" s="99"/>
      <c r="G20" s="99"/>
      <c r="H20" s="99"/>
      <c r="I20" s="99"/>
      <c r="J20" s="99"/>
      <c r="K20" s="94"/>
      <c r="L20" s="99"/>
      <c r="M20" s="94"/>
      <c r="N20" s="99"/>
      <c r="O20" s="99"/>
      <c r="P20" s="90"/>
      <c r="Q20" s="109"/>
      <c r="R20" s="109"/>
      <c r="S20" s="109"/>
      <c r="T20" s="109"/>
      <c r="U20" s="168"/>
      <c r="V20" s="168"/>
      <c r="W20" s="168"/>
      <c r="X20" s="168"/>
      <c r="Y20" s="168"/>
      <c r="Z20" s="168"/>
      <c r="AA20" s="168"/>
    </row>
    <row r="21" spans="1:27" s="154" customFormat="1" ht="15" customHeight="1">
      <c r="A21" s="135" t="s">
        <v>225</v>
      </c>
      <c r="B21" s="487"/>
      <c r="C21" s="487"/>
      <c r="D21" s="487"/>
      <c r="E21" s="487"/>
      <c r="F21" s="487"/>
      <c r="G21" s="487"/>
      <c r="H21" s="487"/>
      <c r="I21" s="488"/>
      <c r="J21" s="488"/>
      <c r="K21" s="488"/>
      <c r="L21" s="488"/>
      <c r="M21" s="488"/>
      <c r="N21" s="488"/>
      <c r="O21" s="488"/>
      <c r="P21" s="486"/>
      <c r="Q21" s="109"/>
      <c r="R21" s="109"/>
      <c r="S21" s="109"/>
      <c r="T21" s="109"/>
      <c r="U21" s="168"/>
      <c r="V21" s="168"/>
      <c r="W21" s="168"/>
      <c r="X21" s="168"/>
      <c r="Y21" s="168"/>
      <c r="Z21" s="168"/>
      <c r="AA21" s="168"/>
    </row>
    <row r="22" spans="1:27" s="154" customFormat="1" ht="14.25" customHeight="1">
      <c r="A22" s="93" t="s">
        <v>226</v>
      </c>
      <c r="B22" s="479"/>
      <c r="C22" s="479"/>
      <c r="D22" s="928"/>
      <c r="E22" s="928"/>
      <c r="F22" s="928"/>
      <c r="G22" s="487"/>
      <c r="H22" s="479"/>
      <c r="I22" s="488"/>
      <c r="J22" s="489" t="s">
        <v>228</v>
      </c>
      <c r="K22" s="921"/>
      <c r="L22" s="921"/>
      <c r="M22" s="921"/>
      <c r="N22" s="921"/>
      <c r="O22" s="921"/>
      <c r="P22" s="90"/>
      <c r="Q22" s="109"/>
      <c r="R22" s="109"/>
      <c r="S22" s="109"/>
      <c r="T22" s="109"/>
      <c r="U22" s="168"/>
      <c r="V22" s="168"/>
      <c r="W22" s="168"/>
      <c r="X22" s="168"/>
      <c r="Y22" s="168"/>
      <c r="Z22" s="168"/>
      <c r="AA22" s="168"/>
    </row>
    <row r="23" spans="1:27" s="154" customFormat="1" ht="15" customHeight="1">
      <c r="A23" s="929"/>
      <c r="B23" s="929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0"/>
      <c r="Q23" s="109"/>
      <c r="R23" s="109"/>
      <c r="S23" s="109"/>
      <c r="T23" s="109"/>
      <c r="U23" s="168"/>
      <c r="V23" s="168"/>
      <c r="W23" s="168"/>
      <c r="X23" s="168"/>
      <c r="Y23" s="168"/>
      <c r="Z23" s="168"/>
      <c r="AA23" s="168"/>
    </row>
    <row r="24" spans="1:27" s="154" customFormat="1" ht="15" customHeight="1">
      <c r="A24" s="930"/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0"/>
      <c r="Q24" s="109"/>
      <c r="R24" s="109"/>
      <c r="S24" s="109"/>
      <c r="T24" s="109"/>
      <c r="U24" s="168"/>
      <c r="V24" s="168"/>
      <c r="W24" s="168"/>
      <c r="X24" s="168"/>
      <c r="Y24" s="168"/>
      <c r="Z24" s="168"/>
      <c r="AA24" s="168"/>
    </row>
    <row r="25" spans="1:27" s="154" customFormat="1" ht="6" customHeight="1">
      <c r="A25" s="18"/>
      <c r="B25" s="18"/>
      <c r="C25" s="18"/>
      <c r="D25" s="18"/>
      <c r="E25" s="18"/>
      <c r="F25" s="18"/>
      <c r="G25" s="18"/>
      <c r="H25" s="18"/>
      <c r="I25" s="479"/>
      <c r="J25" s="479"/>
      <c r="K25" s="479"/>
      <c r="L25" s="479"/>
      <c r="M25" s="479"/>
      <c r="N25" s="479"/>
      <c r="O25" s="479"/>
      <c r="P25" s="90"/>
      <c r="Q25" s="109"/>
      <c r="R25" s="109"/>
      <c r="S25" s="109"/>
      <c r="T25" s="109"/>
      <c r="U25" s="168"/>
      <c r="V25" s="168"/>
      <c r="W25" s="168"/>
      <c r="X25" s="168"/>
      <c r="Y25" s="168"/>
      <c r="Z25" s="168"/>
      <c r="AA25" s="168"/>
    </row>
    <row r="26" spans="1:27" s="154" customFormat="1" ht="6" customHeight="1">
      <c r="A26" s="479"/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90"/>
      <c r="Q26" s="109"/>
      <c r="R26" s="109"/>
      <c r="S26" s="109"/>
      <c r="T26" s="109"/>
      <c r="U26" s="168"/>
      <c r="V26" s="168"/>
      <c r="W26" s="168"/>
      <c r="X26" s="168"/>
      <c r="Y26" s="168"/>
      <c r="Z26" s="168"/>
      <c r="AA26" s="168"/>
    </row>
    <row r="27" spans="1:27" s="154" customFormat="1" ht="14.25" customHeight="1">
      <c r="A27" s="98" t="s">
        <v>0</v>
      </c>
      <c r="B27" s="479"/>
      <c r="C27" s="927"/>
      <c r="D27" s="928"/>
      <c r="E27" s="928"/>
      <c r="F27" s="928"/>
      <c r="G27" s="479"/>
      <c r="H27" s="479"/>
      <c r="I27" s="479"/>
      <c r="J27" s="479"/>
      <c r="K27" s="479"/>
      <c r="L27" s="479"/>
      <c r="M27" s="479"/>
      <c r="N27" s="479"/>
      <c r="O27" s="479"/>
      <c r="P27" s="90"/>
      <c r="Q27" s="109"/>
      <c r="R27" s="109"/>
      <c r="S27" s="109"/>
      <c r="T27" s="109"/>
      <c r="U27" s="168"/>
      <c r="V27" s="168"/>
      <c r="W27" s="168"/>
      <c r="X27" s="168"/>
      <c r="Y27" s="168"/>
      <c r="Z27" s="168"/>
      <c r="AA27" s="168"/>
    </row>
    <row r="28" spans="1:27" s="154" customFormat="1" ht="15" customHeight="1">
      <c r="A28" s="98" t="s">
        <v>22</v>
      </c>
      <c r="B28" s="98"/>
      <c r="C28" s="479"/>
      <c r="D28" s="526"/>
      <c r="E28" s="620"/>
      <c r="F28" s="620"/>
      <c r="G28" s="620"/>
      <c r="H28" s="620"/>
      <c r="I28" s="620"/>
      <c r="J28" s="620"/>
      <c r="K28" s="620"/>
      <c r="L28" s="620"/>
      <c r="M28" s="98" t="s">
        <v>23</v>
      </c>
      <c r="N28" s="918"/>
      <c r="O28" s="918"/>
      <c r="P28" s="90"/>
      <c r="Q28" s="109"/>
      <c r="R28" s="109"/>
      <c r="S28" s="109"/>
      <c r="T28" s="109"/>
      <c r="U28" s="168"/>
      <c r="V28" s="168"/>
      <c r="W28" s="168"/>
      <c r="X28" s="168"/>
      <c r="Y28" s="168"/>
      <c r="Z28" s="168"/>
      <c r="AA28" s="168"/>
    </row>
    <row r="29" spans="1:27" s="154" customFormat="1" ht="15" customHeight="1">
      <c r="A29" s="98" t="s">
        <v>24</v>
      </c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188" t="s">
        <v>25</v>
      </c>
      <c r="N29" s="916"/>
      <c r="O29" s="917"/>
      <c r="P29" s="90"/>
      <c r="Q29" s="109"/>
      <c r="R29" s="109"/>
      <c r="S29" s="109"/>
      <c r="T29" s="109"/>
      <c r="U29" s="168"/>
      <c r="V29" s="168"/>
      <c r="W29" s="168"/>
      <c r="X29" s="168"/>
      <c r="Y29" s="168"/>
      <c r="Z29" s="168"/>
      <c r="AA29" s="168"/>
    </row>
    <row r="30" spans="1:27" s="154" customFormat="1" ht="5.25" customHeight="1">
      <c r="A30" s="479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90"/>
      <c r="Q30" s="109"/>
      <c r="U30" s="168"/>
      <c r="V30" s="168"/>
      <c r="W30" s="168"/>
      <c r="X30" s="168"/>
      <c r="Y30" s="168"/>
      <c r="Z30" s="168"/>
      <c r="AA30" s="168"/>
    </row>
    <row r="31" spans="1:27" s="154" customFormat="1" ht="5.25" customHeight="1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90"/>
      <c r="Q31" s="109"/>
      <c r="R31" s="109"/>
      <c r="S31" s="109"/>
      <c r="T31" s="109"/>
      <c r="U31" s="168"/>
      <c r="V31" s="168"/>
      <c r="W31" s="168"/>
      <c r="X31" s="168"/>
      <c r="Y31" s="168"/>
      <c r="Z31" s="168"/>
      <c r="AA31" s="168"/>
    </row>
    <row r="32" spans="1:27" s="154" customFormat="1" ht="15" customHeight="1">
      <c r="A32" s="96" t="s">
        <v>12</v>
      </c>
      <c r="B32" s="96"/>
      <c r="C32" s="96"/>
      <c r="D32" s="96"/>
      <c r="E32" s="96"/>
      <c r="F32" s="915"/>
      <c r="G32" s="915"/>
      <c r="H32" s="915"/>
      <c r="I32" s="915"/>
      <c r="J32" s="915"/>
      <c r="K32" s="915"/>
      <c r="L32" s="915"/>
      <c r="M32" s="97" t="s">
        <v>13</v>
      </c>
      <c r="N32" s="924"/>
      <c r="O32" s="924"/>
      <c r="P32" s="90"/>
      <c r="Q32" s="109"/>
      <c r="R32" s="109"/>
      <c r="S32" s="109"/>
      <c r="T32" s="109"/>
      <c r="U32" s="168"/>
      <c r="V32" s="168"/>
      <c r="W32" s="168"/>
      <c r="X32" s="168"/>
      <c r="Y32" s="168"/>
      <c r="Z32" s="168"/>
      <c r="AA32" s="168"/>
    </row>
    <row r="33" spans="1:27" s="154" customFormat="1" ht="15" customHeight="1">
      <c r="A33" s="395" t="s">
        <v>14</v>
      </c>
      <c r="B33" s="93"/>
      <c r="C33" s="915"/>
      <c r="D33" s="915"/>
      <c r="E33" s="915"/>
      <c r="F33" s="915"/>
      <c r="G33" s="915"/>
      <c r="H33" s="915"/>
      <c r="I33" s="915"/>
      <c r="J33" s="99"/>
      <c r="K33" s="94" t="s">
        <v>15</v>
      </c>
      <c r="L33" s="618"/>
      <c r="M33" s="915"/>
      <c r="N33" s="915"/>
      <c r="O33" s="915"/>
      <c r="P33" s="90"/>
      <c r="Q33" s="109"/>
      <c r="R33" s="109"/>
      <c r="S33" s="109"/>
      <c r="T33" s="109"/>
      <c r="U33" s="168"/>
      <c r="V33" s="168"/>
      <c r="W33" s="168"/>
      <c r="X33" s="168"/>
      <c r="Y33" s="168"/>
      <c r="Z33" s="168"/>
      <c r="AA33" s="168"/>
    </row>
    <row r="34" spans="1:26" s="154" customFormat="1" ht="6" customHeight="1">
      <c r="A34" s="479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90"/>
      <c r="R34" s="93"/>
      <c r="S34" s="94"/>
      <c r="T34" s="484"/>
      <c r="U34" s="110"/>
      <c r="V34" s="99"/>
      <c r="W34" s="99"/>
      <c r="X34" s="99"/>
      <c r="Y34" s="99"/>
      <c r="Z34" s="99"/>
    </row>
    <row r="35" spans="1:28" s="154" customFormat="1" ht="15" customHeight="1">
      <c r="A35" s="479"/>
      <c r="B35" s="94" t="s">
        <v>257</v>
      </c>
      <c r="C35" s="934"/>
      <c r="D35" s="934"/>
      <c r="E35" s="934"/>
      <c r="F35" s="934"/>
      <c r="G35" s="934"/>
      <c r="H35" s="934"/>
      <c r="I35" s="934"/>
      <c r="J35" s="934"/>
      <c r="K35" s="934"/>
      <c r="L35" s="934"/>
      <c r="M35" s="97" t="s">
        <v>18</v>
      </c>
      <c r="N35" s="918"/>
      <c r="O35" s="918"/>
      <c r="P35" s="92"/>
      <c r="R35" s="96"/>
      <c r="S35" s="479"/>
      <c r="T35" s="485"/>
      <c r="U35" s="110"/>
      <c r="V35" s="110"/>
      <c r="W35" s="99"/>
      <c r="X35" s="99"/>
      <c r="Y35" s="99"/>
      <c r="Z35" s="479"/>
      <c r="AA35" s="481"/>
      <c r="AB35" s="480"/>
    </row>
    <row r="36" spans="1:27" s="154" customFormat="1" ht="15" customHeight="1">
      <c r="A36" s="479"/>
      <c r="B36" s="480" t="s">
        <v>14</v>
      </c>
      <c r="C36" s="920"/>
      <c r="D36" s="920"/>
      <c r="E36" s="920"/>
      <c r="F36" s="920"/>
      <c r="G36" s="920"/>
      <c r="H36" s="920"/>
      <c r="I36" s="920"/>
      <c r="J36" s="920"/>
      <c r="K36" s="920"/>
      <c r="L36" s="480" t="s">
        <v>227</v>
      </c>
      <c r="M36" s="938"/>
      <c r="N36" s="939"/>
      <c r="O36" s="939"/>
      <c r="P36" s="92"/>
      <c r="Q36" s="102"/>
      <c r="R36" s="138"/>
      <c r="S36" s="109"/>
      <c r="T36" s="109"/>
      <c r="U36" s="168"/>
      <c r="V36" s="168"/>
      <c r="W36" s="168"/>
      <c r="X36" s="168"/>
      <c r="Y36" s="168"/>
      <c r="Z36" s="168"/>
      <c r="AA36" s="168"/>
    </row>
    <row r="37" spans="1:27" s="154" customFormat="1" ht="6" customHeight="1" thickBo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91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</row>
    <row r="38" spans="1:27" s="154" customFormat="1" ht="6" customHeight="1" thickTop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03"/>
      <c r="Q38" s="138"/>
      <c r="R38" s="420"/>
      <c r="S38" s="102"/>
      <c r="T38" s="102"/>
      <c r="U38" s="102"/>
      <c r="V38" s="102"/>
      <c r="W38" s="102"/>
      <c r="X38" s="102"/>
      <c r="Y38" s="102"/>
      <c r="Z38" s="168"/>
      <c r="AA38" s="168"/>
    </row>
    <row r="39" spans="1:27" s="154" customFormat="1" ht="15" customHeight="1">
      <c r="A39" s="118" t="s">
        <v>26</v>
      </c>
      <c r="B39" s="119"/>
      <c r="C39" s="119"/>
      <c r="D39" s="119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103"/>
      <c r="Q39" s="138"/>
      <c r="R39" s="420"/>
      <c r="S39" s="102"/>
      <c r="T39" s="102"/>
      <c r="U39" s="102"/>
      <c r="V39" s="102"/>
      <c r="W39" s="102"/>
      <c r="X39" s="102"/>
      <c r="Y39" s="102"/>
      <c r="Z39" s="168"/>
      <c r="AA39" s="168"/>
    </row>
    <row r="40" spans="1:27" s="154" customFormat="1" ht="15" customHeight="1">
      <c r="A40" s="96" t="s">
        <v>27</v>
      </c>
      <c r="B40" s="96"/>
      <c r="C40" s="96"/>
      <c r="D40" s="96"/>
      <c r="E40" s="96"/>
      <c r="F40" s="96"/>
      <c r="G40" s="623"/>
      <c r="H40" s="96" t="s">
        <v>28</v>
      </c>
      <c r="I40" s="88"/>
      <c r="L40" s="88"/>
      <c r="M40" s="97" t="s">
        <v>29</v>
      </c>
      <c r="N40" s="101"/>
      <c r="O40" s="395" t="s">
        <v>110</v>
      </c>
      <c r="P40" s="103"/>
      <c r="Q40" s="102"/>
      <c r="R40" s="420"/>
      <c r="S40" s="102"/>
      <c r="T40" s="102"/>
      <c r="U40" s="102"/>
      <c r="V40" s="102"/>
      <c r="W40" s="102"/>
      <c r="X40" s="102"/>
      <c r="Y40" s="102"/>
      <c r="Z40" s="168"/>
      <c r="AA40" s="168"/>
    </row>
    <row r="41" spans="1:27" s="154" customFormat="1" ht="15" customHeight="1">
      <c r="A41" s="96" t="s">
        <v>30</v>
      </c>
      <c r="B41" s="96"/>
      <c r="C41" s="96"/>
      <c r="D41" s="96"/>
      <c r="E41" s="96"/>
      <c r="F41" s="96"/>
      <c r="G41" s="623"/>
      <c r="H41" s="96" t="s">
        <v>28</v>
      </c>
      <c r="I41" s="88"/>
      <c r="L41" s="88"/>
      <c r="M41" s="97" t="s">
        <v>31</v>
      </c>
      <c r="N41" s="101"/>
      <c r="O41" s="96" t="s">
        <v>28</v>
      </c>
      <c r="P41" s="103"/>
      <c r="Q41" s="136"/>
      <c r="R41" s="420"/>
      <c r="S41" s="102"/>
      <c r="T41" s="102"/>
      <c r="U41" s="102"/>
      <c r="V41" s="102"/>
      <c r="W41" s="102"/>
      <c r="X41" s="102"/>
      <c r="Y41" s="102"/>
      <c r="Z41" s="168"/>
      <c r="AA41" s="168"/>
    </row>
    <row r="42" spans="1:27" s="154" customFormat="1" ht="15" customHeight="1">
      <c r="A42" s="96" t="s">
        <v>32</v>
      </c>
      <c r="B42" s="96"/>
      <c r="C42" s="96"/>
      <c r="D42" s="96"/>
      <c r="E42" s="96"/>
      <c r="F42" s="96"/>
      <c r="G42" s="624">
        <f>G40+G41</f>
        <v>0</v>
      </c>
      <c r="H42" s="96" t="s">
        <v>28</v>
      </c>
      <c r="I42" s="88"/>
      <c r="L42" s="88"/>
      <c r="M42" s="97" t="s">
        <v>33</v>
      </c>
      <c r="N42" s="101"/>
      <c r="O42" s="96" t="s">
        <v>28</v>
      </c>
      <c r="P42" s="103"/>
      <c r="Q42" s="136"/>
      <c r="R42" s="420"/>
      <c r="T42" s="102"/>
      <c r="U42" s="102"/>
      <c r="V42" s="102"/>
      <c r="W42" s="102"/>
      <c r="X42" s="102"/>
      <c r="Y42" s="102"/>
      <c r="Z42" s="168"/>
      <c r="AA42" s="168"/>
    </row>
    <row r="43" spans="1:27" s="154" customFormat="1" ht="15" customHeight="1">
      <c r="A43" s="96" t="s">
        <v>34</v>
      </c>
      <c r="B43" s="96"/>
      <c r="C43" s="96"/>
      <c r="D43" s="96"/>
      <c r="E43" s="96"/>
      <c r="F43" s="96"/>
      <c r="G43" s="623"/>
      <c r="H43" s="96" t="s">
        <v>28</v>
      </c>
      <c r="I43" s="88"/>
      <c r="K43" s="121"/>
      <c r="L43" s="96"/>
      <c r="M43" s="122" t="s">
        <v>229</v>
      </c>
      <c r="N43" s="628" t="s">
        <v>10</v>
      </c>
      <c r="O43" s="96"/>
      <c r="P43" s="103"/>
      <c r="Q43" s="136"/>
      <c r="R43" s="420"/>
      <c r="S43" s="102"/>
      <c r="T43" s="102"/>
      <c r="U43" s="102"/>
      <c r="V43" s="102"/>
      <c r="W43" s="102"/>
      <c r="X43" s="102"/>
      <c r="Y43" s="102"/>
      <c r="Z43" s="168"/>
      <c r="AA43" s="168"/>
    </row>
    <row r="44" spans="1:27" s="154" customFormat="1" ht="15" customHeight="1">
      <c r="A44" s="96" t="s">
        <v>35</v>
      </c>
      <c r="B44" s="96"/>
      <c r="C44" s="96"/>
      <c r="D44" s="96"/>
      <c r="E44" s="96"/>
      <c r="F44" s="96"/>
      <c r="G44" s="123"/>
      <c r="H44" s="96"/>
      <c r="I44" s="88"/>
      <c r="K44" s="96"/>
      <c r="L44" s="96"/>
      <c r="M44" s="122" t="s">
        <v>36</v>
      </c>
      <c r="N44" s="628" t="s">
        <v>10</v>
      </c>
      <c r="O44" s="96"/>
      <c r="P44" s="103"/>
      <c r="Q44" s="102"/>
      <c r="R44" s="141"/>
      <c r="S44" s="102"/>
      <c r="T44" s="102"/>
      <c r="U44" s="102"/>
      <c r="V44" s="102"/>
      <c r="W44" s="102"/>
      <c r="X44" s="102"/>
      <c r="Y44" s="102"/>
      <c r="Z44" s="168"/>
      <c r="AA44" s="168"/>
    </row>
    <row r="45" spans="1:27" s="154" customFormat="1" ht="15" customHeight="1">
      <c r="A45" s="125" t="s">
        <v>37</v>
      </c>
      <c r="B45" s="126"/>
      <c r="C45" s="126"/>
      <c r="D45" s="126"/>
      <c r="E45" s="127"/>
      <c r="F45" s="127"/>
      <c r="G45" s="625"/>
      <c r="H45" s="100" t="s">
        <v>28</v>
      </c>
      <c r="I45" s="88"/>
      <c r="K45" s="115"/>
      <c r="M45" s="490" t="s">
        <v>230</v>
      </c>
      <c r="N45" s="479"/>
      <c r="P45" s="103"/>
      <c r="Q45" s="102"/>
      <c r="R45" s="141"/>
      <c r="S45" s="102"/>
      <c r="T45" s="102"/>
      <c r="U45" s="102"/>
      <c r="V45" s="102"/>
      <c r="W45" s="102"/>
      <c r="X45" s="102"/>
      <c r="Y45" s="102"/>
      <c r="Z45" s="168"/>
      <c r="AA45" s="168"/>
    </row>
    <row r="46" spans="1:27" s="154" customFormat="1" ht="15" customHeight="1">
      <c r="A46" s="96"/>
      <c r="B46" s="96"/>
      <c r="C46" s="96"/>
      <c r="D46" s="96"/>
      <c r="E46" s="96"/>
      <c r="F46" s="96"/>
      <c r="G46" s="123"/>
      <c r="H46" s="96"/>
      <c r="I46" s="88"/>
      <c r="K46" s="92"/>
      <c r="L46" s="92"/>
      <c r="M46" s="195" t="s">
        <v>38</v>
      </c>
      <c r="N46" s="621"/>
      <c r="O46" s="396" t="s">
        <v>40</v>
      </c>
      <c r="P46" s="103"/>
      <c r="Q46" s="102"/>
      <c r="R46" s="141"/>
      <c r="S46" s="102"/>
      <c r="T46" s="145"/>
      <c r="U46" s="145"/>
      <c r="V46" s="145"/>
      <c r="W46" s="145"/>
      <c r="X46" s="145"/>
      <c r="Y46" s="145"/>
      <c r="Z46" s="168"/>
      <c r="AA46" s="168"/>
    </row>
    <row r="47" spans="1:29" s="154" customFormat="1" ht="15" customHeight="1">
      <c r="A47" s="128" t="s">
        <v>41</v>
      </c>
      <c r="B47" s="128"/>
      <c r="C47" s="96"/>
      <c r="D47" s="96"/>
      <c r="E47" s="96"/>
      <c r="F47" s="96"/>
      <c r="G47" s="626">
        <f>G42-G43+G45</f>
        <v>0</v>
      </c>
      <c r="H47" s="96" t="s">
        <v>28</v>
      </c>
      <c r="I47" s="88"/>
      <c r="K47" s="92"/>
      <c r="L47" s="92"/>
      <c r="M47" s="187" t="s">
        <v>39</v>
      </c>
      <c r="N47" s="621"/>
      <c r="O47" s="194" t="s">
        <v>40</v>
      </c>
      <c r="P47" s="103"/>
      <c r="Q47" s="102"/>
      <c r="R47" s="141"/>
      <c r="S47" s="102"/>
      <c r="T47" s="145"/>
      <c r="U47" s="145"/>
      <c r="V47" s="145"/>
      <c r="W47" s="145"/>
      <c r="X47" s="145"/>
      <c r="Y47" s="145"/>
      <c r="AB47" s="168"/>
      <c r="AC47" s="168"/>
    </row>
    <row r="48" spans="1:29" s="154" customFormat="1" ht="15" customHeight="1">
      <c r="A48" s="96" t="s">
        <v>43</v>
      </c>
      <c r="B48" s="96"/>
      <c r="C48" s="96"/>
      <c r="D48" s="96"/>
      <c r="E48" s="96"/>
      <c r="F48" s="96"/>
      <c r="G48" s="623"/>
      <c r="H48" s="96" t="s">
        <v>28</v>
      </c>
      <c r="I48" s="96"/>
      <c r="K48" s="193"/>
      <c r="L48" s="92"/>
      <c r="M48" s="187" t="s">
        <v>42</v>
      </c>
      <c r="N48" s="629"/>
      <c r="O48" s="194" t="s">
        <v>40</v>
      </c>
      <c r="P48" s="103"/>
      <c r="Q48" s="136"/>
      <c r="R48" s="420"/>
      <c r="S48" s="102"/>
      <c r="T48" s="145"/>
      <c r="U48" s="145"/>
      <c r="V48" s="145"/>
      <c r="W48" s="145"/>
      <c r="X48" s="145"/>
      <c r="Y48" s="145"/>
      <c r="AA48" s="168"/>
      <c r="AB48" s="168"/>
      <c r="AC48" s="168"/>
    </row>
    <row r="49" spans="1:29" s="154" customFormat="1" ht="15" customHeight="1">
      <c r="A49" s="97" t="s">
        <v>44</v>
      </c>
      <c r="B49" s="92"/>
      <c r="C49" s="92"/>
      <c r="D49" s="189"/>
      <c r="E49" s="114"/>
      <c r="F49" s="99"/>
      <c r="G49" s="627"/>
      <c r="H49" s="93" t="s">
        <v>28</v>
      </c>
      <c r="I49" s="96"/>
      <c r="J49" s="193"/>
      <c r="K49" s="92"/>
      <c r="L49" s="92"/>
      <c r="N49" s="99"/>
      <c r="O49" s="96"/>
      <c r="P49" s="103"/>
      <c r="Q49" s="136"/>
      <c r="R49" s="141"/>
      <c r="S49" s="102"/>
      <c r="T49" s="145"/>
      <c r="U49" s="145"/>
      <c r="V49" s="145"/>
      <c r="W49" s="145"/>
      <c r="X49" s="145"/>
      <c r="Y49" s="145"/>
      <c r="AA49" s="168"/>
      <c r="AB49" s="168"/>
      <c r="AC49" s="168"/>
    </row>
    <row r="50" spans="1:29" s="154" customFormat="1" ht="5.25" customHeight="1">
      <c r="A50" s="95"/>
      <c r="B50" s="196"/>
      <c r="C50" s="95"/>
      <c r="D50" s="95"/>
      <c r="E50" s="116"/>
      <c r="F50" s="197"/>
      <c r="G50" s="120"/>
      <c r="H50" s="95"/>
      <c r="I50" s="181"/>
      <c r="J50" s="181"/>
      <c r="K50" s="152"/>
      <c r="L50" s="152"/>
      <c r="M50" s="152"/>
      <c r="N50" s="198"/>
      <c r="O50" s="95"/>
      <c r="P50" s="124"/>
      <c r="Q50" s="102"/>
      <c r="R50" s="192"/>
      <c r="S50" s="102"/>
      <c r="T50" s="190"/>
      <c r="U50" s="129"/>
      <c r="V50" s="99"/>
      <c r="W50" s="129"/>
      <c r="X50" s="191"/>
      <c r="Y50" s="102"/>
      <c r="AA50" s="168"/>
      <c r="AB50" s="168"/>
      <c r="AC50" s="168"/>
    </row>
    <row r="51" spans="1:16" s="154" customFormat="1" ht="5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28" s="154" customFormat="1" ht="15" customHeight="1">
      <c r="A52" s="118" t="s">
        <v>45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24"/>
      <c r="Q52" s="102"/>
      <c r="R52" s="192"/>
      <c r="S52" s="102"/>
      <c r="T52" s="94"/>
      <c r="U52" s="189"/>
      <c r="V52" s="130"/>
      <c r="W52" s="189"/>
      <c r="X52" s="102"/>
      <c r="Y52" s="102"/>
      <c r="Z52" s="168"/>
      <c r="AA52" s="168"/>
      <c r="AB52" s="168"/>
    </row>
    <row r="53" spans="1:28" s="154" customFormat="1" ht="15" customHeight="1">
      <c r="A53" s="131" t="s">
        <v>46</v>
      </c>
      <c r="B53" s="132" t="s">
        <v>10</v>
      </c>
      <c r="C53" s="96"/>
      <c r="D53" s="106"/>
      <c r="E53" s="97" t="s">
        <v>47</v>
      </c>
      <c r="F53" s="132" t="s">
        <v>10</v>
      </c>
      <c r="G53" s="133"/>
      <c r="H53" s="133"/>
      <c r="I53" s="106"/>
      <c r="J53" s="122" t="s">
        <v>48</v>
      </c>
      <c r="K53" s="132" t="s">
        <v>10</v>
      </c>
      <c r="L53" s="106"/>
      <c r="M53" s="111" t="s">
        <v>49</v>
      </c>
      <c r="N53" s="132" t="s">
        <v>10</v>
      </c>
      <c r="O53" s="96"/>
      <c r="P53" s="124"/>
      <c r="Q53" s="136"/>
      <c r="R53" s="192"/>
      <c r="S53" s="102"/>
      <c r="T53" s="94"/>
      <c r="U53" s="189"/>
      <c r="V53" s="130"/>
      <c r="W53" s="189"/>
      <c r="X53" s="102"/>
      <c r="Y53" s="102"/>
      <c r="AA53" s="421"/>
      <c r="AB53" s="283"/>
    </row>
    <row r="54" spans="1:28" s="154" customFormat="1" ht="15.75" customHeight="1">
      <c r="A54" s="100" t="s">
        <v>50</v>
      </c>
      <c r="B54" s="106"/>
      <c r="C54" s="96"/>
      <c r="D54" s="96"/>
      <c r="E54" s="106"/>
      <c r="F54" s="867" t="s">
        <v>10</v>
      </c>
      <c r="G54" s="106"/>
      <c r="H54" s="866"/>
      <c r="I54" s="96" t="s">
        <v>110</v>
      </c>
      <c r="L54" s="122" t="s">
        <v>231</v>
      </c>
      <c r="M54" s="866"/>
      <c r="N54" s="96" t="s">
        <v>110</v>
      </c>
      <c r="O54" s="435">
        <f>IF(M54=0,H54,$H$54+$M$54)</f>
        <v>0</v>
      </c>
      <c r="P54" s="92"/>
      <c r="S54" s="102"/>
      <c r="T54" s="102"/>
      <c r="U54" s="102"/>
      <c r="V54" s="102"/>
      <c r="W54" s="102"/>
      <c r="X54" s="102"/>
      <c r="Y54" s="102"/>
      <c r="Z54" s="168"/>
      <c r="AA54" s="421"/>
      <c r="AB54" s="283"/>
    </row>
    <row r="55" spans="1:28" s="154" customFormat="1" ht="15.75" customHeight="1">
      <c r="A55" s="93" t="s">
        <v>174</v>
      </c>
      <c r="B55" s="106"/>
      <c r="C55" s="96"/>
      <c r="E55" s="106"/>
      <c r="F55" s="867" t="s">
        <v>10</v>
      </c>
      <c r="G55" s="106"/>
      <c r="H55" s="866"/>
      <c r="I55" s="96" t="s">
        <v>110</v>
      </c>
      <c r="L55" s="122" t="s">
        <v>231</v>
      </c>
      <c r="M55" s="866"/>
      <c r="N55" s="96" t="s">
        <v>110</v>
      </c>
      <c r="O55" s="436">
        <f>IF($M$55=0,H55,$H$55+$M$55)</f>
        <v>0</v>
      </c>
      <c r="P55" s="92"/>
      <c r="S55" s="102"/>
      <c r="T55" s="102"/>
      <c r="U55" s="102"/>
      <c r="V55" s="102"/>
      <c r="W55" s="102"/>
      <c r="X55" s="102"/>
      <c r="Y55" s="102"/>
      <c r="Z55" s="168"/>
      <c r="AA55" s="421"/>
      <c r="AB55" s="283"/>
    </row>
    <row r="56" spans="1:26" s="154" customFormat="1" ht="15" customHeight="1">
      <c r="A56" s="134" t="s">
        <v>51</v>
      </c>
      <c r="B56" s="96"/>
      <c r="C56" s="96"/>
      <c r="D56" s="96"/>
      <c r="E56" s="99"/>
      <c r="F56" s="101"/>
      <c r="G56" s="101"/>
      <c r="H56" s="95"/>
      <c r="I56" s="95"/>
      <c r="J56" s="95"/>
      <c r="K56" s="95"/>
      <c r="L56" s="95"/>
      <c r="M56" s="95"/>
      <c r="N56" s="95"/>
      <c r="O56" s="96"/>
      <c r="P56" s="92"/>
      <c r="Y56" s="102"/>
      <c r="Z56" s="168"/>
    </row>
    <row r="57" spans="1:26" s="154" customFormat="1" ht="15" customHeight="1">
      <c r="A57" s="100" t="s">
        <v>52</v>
      </c>
      <c r="B57" s="96"/>
      <c r="C57" s="99"/>
      <c r="D57" s="933"/>
      <c r="E57" s="933"/>
      <c r="F57" s="529">
        <f>IF(D57=0,,"kg")</f>
        <v>0</v>
      </c>
      <c r="G57" s="99"/>
      <c r="H57" s="99"/>
      <c r="I57" s="96"/>
      <c r="J57" s="96"/>
      <c r="K57" s="96"/>
      <c r="L57" s="97" t="s">
        <v>53</v>
      </c>
      <c r="M57" s="622"/>
      <c r="N57" s="96" t="s">
        <v>54</v>
      </c>
      <c r="O57" s="96"/>
      <c r="P57" s="92"/>
      <c r="S57" s="199"/>
      <c r="T57" s="199"/>
      <c r="U57" s="102"/>
      <c r="V57" s="102"/>
      <c r="W57" s="102"/>
      <c r="X57" s="102"/>
      <c r="Y57" s="102"/>
      <c r="Z57" s="168"/>
    </row>
    <row r="58" spans="19:27" s="154" customFormat="1" ht="10.5" customHeight="1" thickBot="1">
      <c r="S58" s="199"/>
      <c r="T58" s="199"/>
      <c r="U58" s="102"/>
      <c r="V58" s="102"/>
      <c r="W58" s="102"/>
      <c r="X58" s="102"/>
      <c r="Y58" s="102"/>
      <c r="Z58" s="168"/>
      <c r="AA58" s="168"/>
    </row>
    <row r="59" spans="1:27" s="145" customFormat="1" ht="15" customHeight="1" thickTop="1">
      <c r="A59" s="600" t="s">
        <v>343</v>
      </c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333"/>
      <c r="S59" s="199"/>
      <c r="T59" s="139"/>
      <c r="U59" s="102"/>
      <c r="V59" s="102"/>
      <c r="X59" s="102"/>
      <c r="Y59" s="102"/>
      <c r="Z59" s="102"/>
      <c r="AA59" s="102"/>
    </row>
    <row r="60" spans="1:27" s="145" customFormat="1" ht="15" customHeight="1">
      <c r="A60" s="602" t="s">
        <v>344</v>
      </c>
      <c r="D60" s="602" t="s">
        <v>345</v>
      </c>
      <c r="O60" s="338"/>
      <c r="T60" s="139"/>
      <c r="U60" s="102"/>
      <c r="V60" s="102"/>
      <c r="X60" s="102"/>
      <c r="Y60" s="102"/>
      <c r="Z60" s="102"/>
      <c r="AA60" s="102"/>
    </row>
    <row r="61" spans="1:27" s="145" customFormat="1" ht="15" customHeight="1">
      <c r="A61" s="603"/>
      <c r="D61" s="602" t="s">
        <v>346</v>
      </c>
      <c r="O61" s="338"/>
      <c r="S61" s="199"/>
      <c r="T61" s="139"/>
      <c r="U61" s="102"/>
      <c r="V61" s="102"/>
      <c r="X61" s="102"/>
      <c r="Y61" s="102"/>
      <c r="Z61" s="102"/>
      <c r="AA61" s="102"/>
    </row>
    <row r="62" spans="1:27" s="145" customFormat="1" ht="15" customHeight="1">
      <c r="A62" s="603"/>
      <c r="D62" s="602" t="s">
        <v>347</v>
      </c>
      <c r="O62" s="338"/>
      <c r="S62" s="199"/>
      <c r="T62" s="139"/>
      <c r="U62" s="102"/>
      <c r="V62" s="102"/>
      <c r="X62" s="102"/>
      <c r="Y62" s="102"/>
      <c r="Z62" s="102"/>
      <c r="AA62" s="102"/>
    </row>
    <row r="63" spans="2:27" s="154" customFormat="1" ht="15" customHeight="1">
      <c r="B63" s="299" t="s">
        <v>55</v>
      </c>
      <c r="D63" s="299" t="s">
        <v>256</v>
      </c>
      <c r="E63" s="299"/>
      <c r="G63" s="299"/>
      <c r="H63" s="299"/>
      <c r="I63" s="299"/>
      <c r="J63" s="299"/>
      <c r="K63" s="299"/>
      <c r="L63" s="299"/>
      <c r="M63" s="299"/>
      <c r="N63" s="299"/>
      <c r="O63" s="299"/>
      <c r="S63" s="199"/>
      <c r="T63" s="139"/>
      <c r="U63" s="200"/>
      <c r="V63" s="102"/>
      <c r="W63" s="145"/>
      <c r="X63" s="102"/>
      <c r="Y63" s="102"/>
      <c r="Z63" s="168"/>
      <c r="AA63" s="168"/>
    </row>
    <row r="64" spans="2:27" s="154" customFormat="1" ht="15" customHeight="1">
      <c r="B64" s="339" t="s">
        <v>56</v>
      </c>
      <c r="E64" s="811" t="s">
        <v>461</v>
      </c>
      <c r="G64" s="812" t="s">
        <v>463</v>
      </c>
      <c r="H64" s="932" t="s">
        <v>464</v>
      </c>
      <c r="I64" s="932"/>
      <c r="J64" s="932" t="s">
        <v>414</v>
      </c>
      <c r="K64" s="932"/>
      <c r="L64" s="812" t="s">
        <v>465</v>
      </c>
      <c r="M64" s="812" t="s">
        <v>466</v>
      </c>
      <c r="N64" s="338"/>
      <c r="S64" s="199"/>
      <c r="T64" s="139"/>
      <c r="U64" s="200"/>
      <c r="V64" s="102"/>
      <c r="W64" s="145"/>
      <c r="X64" s="102"/>
      <c r="Y64" s="102"/>
      <c r="Z64" s="168"/>
      <c r="AA64" s="168"/>
    </row>
    <row r="65" spans="1:27" s="154" customFormat="1" ht="15" customHeight="1" thickBot="1">
      <c r="A65" s="340"/>
      <c r="B65" s="334"/>
      <c r="C65" s="334"/>
      <c r="D65" s="334"/>
      <c r="E65" s="810" t="s">
        <v>462</v>
      </c>
      <c r="F65" s="340"/>
      <c r="G65" s="335">
        <v>4</v>
      </c>
      <c r="H65" s="931">
        <v>4.5</v>
      </c>
      <c r="I65" s="931"/>
      <c r="J65" s="931">
        <v>5</v>
      </c>
      <c r="K65" s="931"/>
      <c r="L65" s="336">
        <v>5.5</v>
      </c>
      <c r="M65" s="335">
        <v>6</v>
      </c>
      <c r="N65" s="334"/>
      <c r="O65" s="108"/>
      <c r="S65" s="199"/>
      <c r="Z65" s="168"/>
      <c r="AA65" s="168"/>
    </row>
    <row r="66" spans="1:27" s="154" customFormat="1" ht="25.5" customHeight="1" thickTop="1">
      <c r="A66" s="202"/>
      <c r="B66" s="102"/>
      <c r="C66" s="102"/>
      <c r="D66" s="102"/>
      <c r="E66" s="102"/>
      <c r="F66" s="102"/>
      <c r="G66" s="102"/>
      <c r="H66" s="102"/>
      <c r="I66" s="191"/>
      <c r="J66" s="102"/>
      <c r="K66" s="102"/>
      <c r="L66" s="102"/>
      <c r="M66" s="102"/>
      <c r="N66" s="102"/>
      <c r="O66" s="102"/>
      <c r="P66" s="199"/>
      <c r="Q66" s="199"/>
      <c r="R66" s="199"/>
      <c r="S66" s="199"/>
      <c r="Z66" s="168"/>
      <c r="AA66" s="168"/>
    </row>
    <row r="67" spans="1:27" s="154" customFormat="1" ht="18.75" customHeight="1">
      <c r="A67" s="107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Z67" s="168"/>
      <c r="AA67" s="168"/>
    </row>
    <row r="68" spans="1:27" s="154" customFormat="1" ht="18.75" customHeight="1">
      <c r="A68" s="107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99"/>
      <c r="Q68" s="199"/>
      <c r="R68" s="199"/>
      <c r="Z68" s="168"/>
      <c r="AA68" s="168"/>
    </row>
    <row r="69" spans="1:27" s="154" customFormat="1" ht="18.75" customHeight="1">
      <c r="A69" s="107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9"/>
      <c r="Q69" s="109"/>
      <c r="R69" s="109"/>
      <c r="S69" s="109"/>
      <c r="T69" s="109"/>
      <c r="U69" s="168"/>
      <c r="V69" s="168"/>
      <c r="W69" s="168"/>
      <c r="X69" s="168"/>
      <c r="Y69" s="168"/>
      <c r="Z69" s="168"/>
      <c r="AA69" s="168"/>
    </row>
    <row r="70" spans="1:27" s="154" customFormat="1" ht="18.75" customHeight="1">
      <c r="A70" s="137"/>
      <c r="B70" s="102"/>
      <c r="C70" s="19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9"/>
      <c r="Q70" s="109"/>
      <c r="R70" s="109"/>
      <c r="S70" s="109"/>
      <c r="T70" s="109"/>
      <c r="U70" s="168"/>
      <c r="V70" s="168"/>
      <c r="W70" s="168"/>
      <c r="X70" s="168"/>
      <c r="Y70" s="168"/>
      <c r="Z70" s="168"/>
      <c r="AA70" s="168"/>
    </row>
    <row r="71" spans="1:27" s="154" customFormat="1" ht="18.75" customHeight="1">
      <c r="A71" s="19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9"/>
      <c r="Q71" s="109"/>
      <c r="R71" s="109"/>
      <c r="S71" s="109"/>
      <c r="T71" s="109"/>
      <c r="U71" s="168"/>
      <c r="V71" s="168"/>
      <c r="W71" s="168"/>
      <c r="X71" s="168"/>
      <c r="Y71" s="168"/>
      <c r="Z71" s="168"/>
      <c r="AA71" s="168"/>
    </row>
    <row r="72" spans="1:27" s="154" customFormat="1" ht="18.75" customHeight="1">
      <c r="A72" s="19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9"/>
      <c r="Q72" s="109"/>
      <c r="R72" s="109"/>
      <c r="S72" s="109"/>
      <c r="T72" s="109"/>
      <c r="U72" s="168"/>
      <c r="V72" s="168"/>
      <c r="W72" s="168"/>
      <c r="X72" s="168"/>
      <c r="Y72" s="168"/>
      <c r="Z72" s="168"/>
      <c r="AA72" s="168"/>
    </row>
    <row r="73" spans="1:27" s="154" customFormat="1" ht="18.75" customHeight="1">
      <c r="A73" s="203"/>
      <c r="B73" s="102"/>
      <c r="C73" s="102"/>
      <c r="D73" s="102"/>
      <c r="E73" s="102"/>
      <c r="F73" s="191"/>
      <c r="G73" s="102"/>
      <c r="H73" s="102"/>
      <c r="I73" s="102"/>
      <c r="J73" s="102"/>
      <c r="K73" s="102"/>
      <c r="L73" s="102"/>
      <c r="M73" s="102"/>
      <c r="N73" s="102"/>
      <c r="O73" s="102"/>
      <c r="P73" s="109"/>
      <c r="Q73" s="109"/>
      <c r="R73" s="109"/>
      <c r="S73" s="109"/>
      <c r="T73" s="109"/>
      <c r="U73" s="168"/>
      <c r="V73" s="168"/>
      <c r="W73" s="168"/>
      <c r="X73" s="168"/>
      <c r="Y73" s="168"/>
      <c r="Z73" s="168"/>
      <c r="AA73" s="168"/>
    </row>
    <row r="74" spans="1:27" s="154" customFormat="1" ht="18.75" customHeight="1">
      <c r="A74" s="19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9"/>
      <c r="Q74" s="109"/>
      <c r="R74" s="109"/>
      <c r="S74" s="109"/>
      <c r="T74" s="109"/>
      <c r="U74" s="168"/>
      <c r="V74" s="168"/>
      <c r="W74" s="168"/>
      <c r="X74" s="168"/>
      <c r="Y74" s="168"/>
      <c r="Z74" s="168"/>
      <c r="AA74" s="168"/>
    </row>
    <row r="75" spans="1:27" s="154" customFormat="1" ht="18.75" customHeight="1">
      <c r="A75" s="19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9"/>
      <c r="Q75" s="109"/>
      <c r="R75" s="109"/>
      <c r="S75" s="109"/>
      <c r="T75" s="109"/>
      <c r="U75" s="168"/>
      <c r="V75" s="168"/>
      <c r="W75" s="168"/>
      <c r="X75" s="168"/>
      <c r="Y75" s="168"/>
      <c r="Z75" s="168"/>
      <c r="AA75" s="168"/>
    </row>
    <row r="76" spans="1:27" s="154" customFormat="1" ht="9" customHeight="1">
      <c r="A76" s="136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9"/>
      <c r="Q76" s="109"/>
      <c r="R76" s="109"/>
      <c r="S76" s="109"/>
      <c r="T76" s="109"/>
      <c r="U76" s="168"/>
      <c r="V76" s="168"/>
      <c r="W76" s="168"/>
      <c r="X76" s="168"/>
      <c r="Y76" s="168"/>
      <c r="Z76" s="168"/>
      <c r="AA76" s="168"/>
    </row>
    <row r="77" spans="1:27" s="154" customFormat="1" ht="18.75" customHeight="1">
      <c r="A77" s="137"/>
      <c r="B77" s="102"/>
      <c r="C77" s="102"/>
      <c r="E77" s="102"/>
      <c r="F77" s="102"/>
      <c r="G77" s="102"/>
      <c r="H77" s="102"/>
      <c r="I77" s="102"/>
      <c r="J77" s="102"/>
      <c r="K77" s="102"/>
      <c r="L77" s="102"/>
      <c r="P77" s="109"/>
      <c r="Q77" s="109"/>
      <c r="R77" s="109"/>
      <c r="S77" s="109"/>
      <c r="T77" s="109"/>
      <c r="U77" s="168"/>
      <c r="V77" s="168"/>
      <c r="W77" s="168"/>
      <c r="X77" s="168"/>
      <c r="Y77" s="168"/>
      <c r="Z77" s="168"/>
      <c r="AA77" s="168"/>
    </row>
    <row r="78" spans="1:27" s="154" customFormat="1" ht="18.75" customHeight="1">
      <c r="A78" s="138"/>
      <c r="C78" s="102"/>
      <c r="D78" s="102"/>
      <c r="E78" s="102"/>
      <c r="F78" s="102"/>
      <c r="G78" s="139"/>
      <c r="H78" s="191"/>
      <c r="I78" s="102"/>
      <c r="J78" s="102"/>
      <c r="K78" s="102"/>
      <c r="M78" s="140"/>
      <c r="N78" s="191"/>
      <c r="O78" s="102"/>
      <c r="P78" s="109"/>
      <c r="Q78" s="109"/>
      <c r="R78" s="109"/>
      <c r="S78" s="109"/>
      <c r="T78" s="109"/>
      <c r="U78" s="168"/>
      <c r="V78" s="168"/>
      <c r="W78" s="168"/>
      <c r="X78" s="168"/>
      <c r="Y78" s="168"/>
      <c r="Z78" s="168"/>
      <c r="AA78" s="168"/>
    </row>
    <row r="79" spans="1:27" s="154" customFormat="1" ht="18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204"/>
      <c r="K79" s="102"/>
      <c r="L79" s="192"/>
      <c r="M79" s="102"/>
      <c r="N79" s="102"/>
      <c r="O79" s="102"/>
      <c r="P79" s="109"/>
      <c r="Q79" s="109"/>
      <c r="R79" s="109"/>
      <c r="S79" s="109"/>
      <c r="T79" s="109"/>
      <c r="U79" s="168"/>
      <c r="V79" s="168"/>
      <c r="W79" s="168"/>
      <c r="X79" s="168"/>
      <c r="Y79" s="168"/>
      <c r="Z79" s="168"/>
      <c r="AA79" s="168"/>
    </row>
    <row r="80" spans="1:27" s="154" customFormat="1" ht="18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204"/>
      <c r="K80" s="102"/>
      <c r="L80" s="192"/>
      <c r="M80" s="102"/>
      <c r="N80" s="102"/>
      <c r="O80" s="102"/>
      <c r="P80" s="109"/>
      <c r="Q80" s="109"/>
      <c r="R80" s="109"/>
      <c r="S80" s="109"/>
      <c r="T80" s="109"/>
      <c r="U80" s="168"/>
      <c r="V80" s="168"/>
      <c r="W80" s="168"/>
      <c r="X80" s="168"/>
      <c r="Y80" s="168"/>
      <c r="Z80" s="168"/>
      <c r="AA80" s="168"/>
    </row>
    <row r="81" spans="1:27" s="154" customFormat="1" ht="18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204"/>
      <c r="K81" s="107"/>
      <c r="L81" s="192"/>
      <c r="M81" s="102"/>
      <c r="N81" s="102"/>
      <c r="O81" s="102"/>
      <c r="P81" s="109"/>
      <c r="Q81" s="109"/>
      <c r="R81" s="109"/>
      <c r="S81" s="109"/>
      <c r="T81" s="109"/>
      <c r="U81" s="168"/>
      <c r="V81" s="168"/>
      <c r="W81" s="168"/>
      <c r="X81" s="168"/>
      <c r="Y81" s="168"/>
      <c r="Z81" s="168"/>
      <c r="AA81" s="168"/>
    </row>
    <row r="82" spans="1:27" s="154" customFormat="1" ht="18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204"/>
      <c r="K82" s="191"/>
      <c r="L82" s="192"/>
      <c r="M82" s="102"/>
      <c r="N82" s="102"/>
      <c r="O82" s="102"/>
      <c r="P82" s="109"/>
      <c r="Q82" s="109"/>
      <c r="R82" s="109"/>
      <c r="S82" s="109"/>
      <c r="T82" s="109"/>
      <c r="U82" s="168"/>
      <c r="V82" s="168"/>
      <c r="W82" s="168"/>
      <c r="X82" s="168"/>
      <c r="Y82" s="168"/>
      <c r="Z82" s="168"/>
      <c r="AA82" s="168"/>
    </row>
    <row r="83" spans="1:27" s="154" customFormat="1" ht="27" customHeight="1">
      <c r="A83" s="136"/>
      <c r="B83" s="102"/>
      <c r="C83" s="102"/>
      <c r="D83" s="141"/>
      <c r="E83" s="205"/>
      <c r="F83" s="102"/>
      <c r="G83" s="136"/>
      <c r="H83" s="102"/>
      <c r="I83" s="102"/>
      <c r="J83" s="102"/>
      <c r="K83" s="102"/>
      <c r="L83" s="102"/>
      <c r="M83" s="102"/>
      <c r="N83" s="102"/>
      <c r="O83" s="102"/>
      <c r="P83" s="109"/>
      <c r="Q83" s="109"/>
      <c r="R83" s="109"/>
      <c r="S83" s="109"/>
      <c r="T83" s="109"/>
      <c r="U83" s="168"/>
      <c r="V83" s="168"/>
      <c r="W83" s="168"/>
      <c r="X83" s="168"/>
      <c r="Y83" s="168"/>
      <c r="Z83" s="168"/>
      <c r="AA83" s="168"/>
    </row>
    <row r="84" spans="1:27" s="154" customFormat="1" ht="18.75" customHeight="1">
      <c r="A84" s="136"/>
      <c r="B84" s="102"/>
      <c r="C84" s="102"/>
      <c r="D84" s="141"/>
      <c r="E84" s="136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9"/>
      <c r="Q84" s="109"/>
      <c r="R84" s="109"/>
      <c r="S84" s="109"/>
      <c r="T84" s="109"/>
      <c r="U84" s="168"/>
      <c r="V84" s="168"/>
      <c r="W84" s="168"/>
      <c r="X84" s="168"/>
      <c r="Y84" s="168"/>
      <c r="Z84" s="168"/>
      <c r="AA84" s="168"/>
    </row>
    <row r="85" spans="1:27" s="154" customFormat="1" ht="18.75" customHeight="1">
      <c r="A85" s="136"/>
      <c r="B85" s="102"/>
      <c r="C85" s="102"/>
      <c r="D85" s="102"/>
      <c r="E85" s="102"/>
      <c r="F85" s="102"/>
      <c r="G85" s="102"/>
      <c r="H85" s="102"/>
      <c r="I85" s="102"/>
      <c r="J85" s="102"/>
      <c r="K85" s="140"/>
      <c r="L85" s="142"/>
      <c r="M85" s="139"/>
      <c r="N85" s="143"/>
      <c r="O85" s="102"/>
      <c r="P85" s="109"/>
      <c r="Q85" s="109"/>
      <c r="R85" s="109"/>
      <c r="S85" s="109"/>
      <c r="T85" s="109"/>
      <c r="U85" s="168"/>
      <c r="V85" s="168"/>
      <c r="W85" s="168"/>
      <c r="X85" s="168"/>
      <c r="Y85" s="168"/>
      <c r="Z85" s="168"/>
      <c r="AA85" s="168"/>
    </row>
    <row r="86" spans="1:27" s="154" customFormat="1" ht="18.75" customHeight="1">
      <c r="A86" s="102"/>
      <c r="B86" s="102"/>
      <c r="D86" s="102"/>
      <c r="E86" s="102"/>
      <c r="F86" s="102"/>
      <c r="G86" s="102"/>
      <c r="H86" s="102"/>
      <c r="I86" s="102"/>
      <c r="J86" s="102"/>
      <c r="K86" s="140"/>
      <c r="L86" s="142"/>
      <c r="M86" s="139"/>
      <c r="N86" s="191"/>
      <c r="O86" s="102"/>
      <c r="P86" s="109"/>
      <c r="Q86" s="109"/>
      <c r="R86" s="109"/>
      <c r="S86" s="109"/>
      <c r="T86" s="109"/>
      <c r="U86" s="168"/>
      <c r="V86" s="168"/>
      <c r="W86" s="168"/>
      <c r="X86" s="168"/>
      <c r="Y86" s="168"/>
      <c r="Z86" s="168"/>
      <c r="AA86" s="168"/>
    </row>
    <row r="87" spans="1:27" s="154" customFormat="1" ht="18.75" customHeight="1">
      <c r="A87" s="138"/>
      <c r="B87" s="102"/>
      <c r="C87" s="102"/>
      <c r="D87" s="102"/>
      <c r="E87" s="102"/>
      <c r="F87" s="144"/>
      <c r="G87" s="102"/>
      <c r="H87" s="102"/>
      <c r="I87" s="102"/>
      <c r="J87" s="102"/>
      <c r="K87" s="140"/>
      <c r="L87" s="142"/>
      <c r="M87" s="204"/>
      <c r="N87" s="145"/>
      <c r="O87" s="102"/>
      <c r="P87" s="109"/>
      <c r="Q87" s="109"/>
      <c r="R87" s="109"/>
      <c r="S87" s="109"/>
      <c r="T87" s="109"/>
      <c r="U87" s="168"/>
      <c r="V87" s="168"/>
      <c r="W87" s="168"/>
      <c r="X87" s="168"/>
      <c r="Y87" s="168"/>
      <c r="Z87" s="168"/>
      <c r="AA87" s="168"/>
    </row>
    <row r="88" spans="1:27" s="154" customFormat="1" ht="18.75" customHeight="1">
      <c r="A88" s="138"/>
      <c r="B88" s="102"/>
      <c r="C88" s="102"/>
      <c r="D88" s="102"/>
      <c r="E88" s="102"/>
      <c r="F88" s="144"/>
      <c r="G88" s="102"/>
      <c r="H88" s="102"/>
      <c r="I88" s="102"/>
      <c r="J88" s="102"/>
      <c r="K88" s="140"/>
      <c r="L88" s="142"/>
      <c r="M88" s="102"/>
      <c r="N88" s="145"/>
      <c r="O88" s="102"/>
      <c r="P88" s="109"/>
      <c r="Q88" s="109"/>
      <c r="R88" s="109"/>
      <c r="S88" s="109"/>
      <c r="T88" s="109"/>
      <c r="U88" s="168"/>
      <c r="V88" s="168"/>
      <c r="W88" s="168"/>
      <c r="X88" s="168"/>
      <c r="Y88" s="168"/>
      <c r="Z88" s="168"/>
      <c r="AA88" s="168"/>
    </row>
    <row r="89" spans="1:27" s="154" customFormat="1" ht="18.75" customHeight="1">
      <c r="A89" s="138"/>
      <c r="B89" s="145"/>
      <c r="C89" s="102"/>
      <c r="D89" s="19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9"/>
      <c r="Q89" s="109"/>
      <c r="R89" s="109"/>
      <c r="S89" s="109"/>
      <c r="T89" s="109"/>
      <c r="U89" s="168"/>
      <c r="V89" s="168"/>
      <c r="W89" s="168"/>
      <c r="X89" s="168"/>
      <c r="Y89" s="168"/>
      <c r="Z89" s="168"/>
      <c r="AA89" s="168"/>
    </row>
    <row r="90" spans="1:27" s="154" customFormat="1" ht="18.75" customHeight="1">
      <c r="A90" s="138"/>
      <c r="B90" s="102"/>
      <c r="C90" s="102"/>
      <c r="D90" s="102"/>
      <c r="E90" s="102"/>
      <c r="F90" s="191"/>
      <c r="G90" s="102"/>
      <c r="H90" s="102"/>
      <c r="I90" s="102"/>
      <c r="J90" s="102"/>
      <c r="K90" s="102"/>
      <c r="L90" s="102"/>
      <c r="M90" s="102"/>
      <c r="N90" s="102"/>
      <c r="O90" s="102"/>
      <c r="P90" s="109"/>
      <c r="Q90" s="109"/>
      <c r="R90" s="109"/>
      <c r="S90" s="109"/>
      <c r="T90" s="109"/>
      <c r="U90" s="168"/>
      <c r="V90" s="168"/>
      <c r="W90" s="168"/>
      <c r="X90" s="168"/>
      <c r="Y90" s="168"/>
      <c r="Z90" s="168"/>
      <c r="AA90" s="168"/>
    </row>
    <row r="91" spans="1:27" s="154" customFormat="1" ht="18.75" customHeight="1">
      <c r="A91" s="107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9"/>
      <c r="Q91" s="109"/>
      <c r="R91" s="109"/>
      <c r="S91" s="109"/>
      <c r="T91" s="109"/>
      <c r="U91" s="168"/>
      <c r="V91" s="168"/>
      <c r="W91" s="168"/>
      <c r="X91" s="168"/>
      <c r="Y91" s="168"/>
      <c r="Z91" s="168"/>
      <c r="AA91" s="168"/>
    </row>
    <row r="92" spans="1:27" s="154" customFormat="1" ht="18.75" customHeight="1">
      <c r="A92" s="107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9"/>
      <c r="Q92" s="109"/>
      <c r="R92" s="109"/>
      <c r="S92" s="109"/>
      <c r="T92" s="109"/>
      <c r="U92" s="168"/>
      <c r="V92" s="168"/>
      <c r="W92" s="168"/>
      <c r="X92" s="168"/>
      <c r="Y92" s="168"/>
      <c r="Z92" s="168"/>
      <c r="AA92" s="168"/>
    </row>
    <row r="93" spans="1:27" s="154" customFormat="1" ht="9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9"/>
      <c r="Q93" s="109"/>
      <c r="R93" s="109"/>
      <c r="S93" s="109"/>
      <c r="T93" s="109"/>
      <c r="U93" s="168"/>
      <c r="V93" s="168"/>
      <c r="W93" s="168"/>
      <c r="X93" s="168"/>
      <c r="Y93" s="168"/>
      <c r="Z93" s="168"/>
      <c r="AA93" s="168"/>
    </row>
    <row r="94" spans="1:27" s="154" customFormat="1" ht="18.75" customHeight="1">
      <c r="A94" s="137"/>
      <c r="B94" s="102"/>
      <c r="C94" s="102"/>
      <c r="D94" s="102"/>
      <c r="E94" s="102"/>
      <c r="F94" s="102"/>
      <c r="G94" s="102"/>
      <c r="H94" s="191"/>
      <c r="I94" s="102"/>
      <c r="J94" s="102"/>
      <c r="K94" s="102"/>
      <c r="L94" s="102"/>
      <c r="M94" s="102"/>
      <c r="N94" s="102"/>
      <c r="O94" s="102"/>
      <c r="P94" s="109"/>
      <c r="Q94" s="109"/>
      <c r="R94" s="109"/>
      <c r="S94" s="109"/>
      <c r="T94" s="109"/>
      <c r="U94" s="168"/>
      <c r="V94" s="168"/>
      <c r="W94" s="168"/>
      <c r="X94" s="168"/>
      <c r="Y94" s="168"/>
      <c r="Z94" s="168"/>
      <c r="AA94" s="168"/>
    </row>
    <row r="95" spans="1:27" s="154" customFormat="1" ht="18.75" customHeight="1">
      <c r="A95" s="107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9"/>
      <c r="Q95" s="109"/>
      <c r="R95" s="109"/>
      <c r="S95" s="109"/>
      <c r="T95" s="109"/>
      <c r="U95" s="168"/>
      <c r="V95" s="168"/>
      <c r="W95" s="168"/>
      <c r="X95" s="168"/>
      <c r="Y95" s="168"/>
      <c r="Z95" s="168"/>
      <c r="AA95" s="168"/>
    </row>
    <row r="96" spans="1:27" s="154" customFormat="1" ht="18.75" customHeight="1">
      <c r="A96" s="107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9"/>
      <c r="Q96" s="109"/>
      <c r="R96" s="109"/>
      <c r="S96" s="109"/>
      <c r="T96" s="109"/>
      <c r="U96" s="168"/>
      <c r="V96" s="168"/>
      <c r="W96" s="168"/>
      <c r="X96" s="168"/>
      <c r="Y96" s="168"/>
      <c r="Z96" s="168"/>
      <c r="AA96" s="168"/>
    </row>
    <row r="97" spans="1:27" s="154" customFormat="1" ht="7.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9"/>
      <c r="Q97" s="109"/>
      <c r="R97" s="109"/>
      <c r="S97" s="109"/>
      <c r="T97" s="109"/>
      <c r="U97" s="168"/>
      <c r="V97" s="168"/>
      <c r="W97" s="168"/>
      <c r="X97" s="168"/>
      <c r="Y97" s="168"/>
      <c r="Z97" s="168"/>
      <c r="AA97" s="168"/>
    </row>
    <row r="98" spans="1:27" s="154" customFormat="1" ht="28.5" customHeight="1">
      <c r="A98" s="137"/>
      <c r="B98" s="102"/>
      <c r="C98" s="102"/>
      <c r="D98" s="102"/>
      <c r="E98" s="102"/>
      <c r="F98" s="102"/>
      <c r="G98" s="102"/>
      <c r="H98" s="102"/>
      <c r="I98" s="102"/>
      <c r="J98" s="102"/>
      <c r="K98" s="147"/>
      <c r="L98" s="107"/>
      <c r="M98" s="102"/>
      <c r="N98" s="102"/>
      <c r="O98" s="102"/>
      <c r="P98" s="109"/>
      <c r="Q98" s="109"/>
      <c r="R98" s="109"/>
      <c r="S98" s="109"/>
      <c r="T98" s="109"/>
      <c r="U98" s="168"/>
      <c r="V98" s="168"/>
      <c r="W98" s="168"/>
      <c r="X98" s="168"/>
      <c r="Y98" s="168"/>
      <c r="Z98" s="168"/>
      <c r="AA98" s="168"/>
    </row>
    <row r="99" spans="1:27" s="154" customFormat="1" ht="18.75" customHeight="1">
      <c r="A99" s="206"/>
      <c r="B99" s="132"/>
      <c r="C99" s="102"/>
      <c r="D99" s="206"/>
      <c r="E99" s="102"/>
      <c r="F99" s="102"/>
      <c r="G99" s="207"/>
      <c r="H99" s="146"/>
      <c r="I99" s="147"/>
      <c r="J99" s="132"/>
      <c r="K99" s="145"/>
      <c r="L99" s="147"/>
      <c r="M99" s="132"/>
      <c r="N99" s="208"/>
      <c r="O99" s="148"/>
      <c r="P99" s="109"/>
      <c r="Q99" s="109"/>
      <c r="R99" s="109"/>
      <c r="S99" s="109"/>
      <c r="T99" s="109"/>
      <c r="U99" s="168"/>
      <c r="V99" s="168"/>
      <c r="W99" s="168"/>
      <c r="X99" s="168"/>
      <c r="Y99" s="168"/>
      <c r="Z99" s="168"/>
      <c r="AA99" s="168"/>
    </row>
    <row r="100" spans="1:27" s="154" customFormat="1" ht="18.75" customHeight="1">
      <c r="A100" s="206"/>
      <c r="B100" s="132"/>
      <c r="C100" s="102"/>
      <c r="D100" s="206"/>
      <c r="E100" s="144"/>
      <c r="F100" s="144"/>
      <c r="G100" s="207"/>
      <c r="H100" s="146"/>
      <c r="I100" s="147"/>
      <c r="J100" s="132"/>
      <c r="K100" s="145"/>
      <c r="L100" s="147"/>
      <c r="M100" s="132"/>
      <c r="N100" s="208"/>
      <c r="O100" s="148"/>
      <c r="P100" s="109"/>
      <c r="Q100" s="109"/>
      <c r="R100" s="109"/>
      <c r="S100" s="109"/>
      <c r="T100" s="109"/>
      <c r="U100" s="168"/>
      <c r="V100" s="168"/>
      <c r="W100" s="168"/>
      <c r="X100" s="168"/>
      <c r="Y100" s="168"/>
      <c r="Z100" s="168"/>
      <c r="AA100" s="168"/>
    </row>
    <row r="101" spans="1:27" s="154" customFormat="1" ht="18.75" customHeight="1">
      <c r="A101" s="206"/>
      <c r="B101" s="132"/>
      <c r="C101" s="102"/>
      <c r="D101" s="206"/>
      <c r="E101" s="102"/>
      <c r="F101" s="102"/>
      <c r="G101" s="207"/>
      <c r="H101" s="146"/>
      <c r="I101" s="147"/>
      <c r="J101" s="132"/>
      <c r="K101" s="102"/>
      <c r="L101" s="147"/>
      <c r="M101" s="132"/>
      <c r="N101" s="208"/>
      <c r="O101" s="148"/>
      <c r="P101" s="109"/>
      <c r="Q101" s="109"/>
      <c r="R101" s="109"/>
      <c r="S101" s="109"/>
      <c r="T101" s="109"/>
      <c r="U101" s="168"/>
      <c r="V101" s="168"/>
      <c r="W101" s="168"/>
      <c r="X101" s="168"/>
      <c r="Y101" s="168"/>
      <c r="Z101" s="168"/>
      <c r="AA101" s="168"/>
    </row>
    <row r="102" spans="1:27" s="154" customFormat="1" ht="18.75" customHeight="1">
      <c r="A102" s="206"/>
      <c r="B102" s="102"/>
      <c r="C102" s="102"/>
      <c r="D102" s="102"/>
      <c r="E102" s="102"/>
      <c r="F102" s="145"/>
      <c r="G102" s="132"/>
      <c r="H102" s="149"/>
      <c r="I102" s="144"/>
      <c r="J102" s="144"/>
      <c r="K102" s="147"/>
      <c r="L102" s="132"/>
      <c r="M102" s="102"/>
      <c r="N102" s="102"/>
      <c r="O102" s="102"/>
      <c r="Q102" s="209"/>
      <c r="R102" s="109"/>
      <c r="S102" s="109"/>
      <c r="T102" s="109"/>
      <c r="U102" s="168"/>
      <c r="V102" s="168"/>
      <c r="W102" s="168"/>
      <c r="X102" s="168"/>
      <c r="Y102" s="168"/>
      <c r="Z102" s="168"/>
      <c r="AA102" s="168"/>
    </row>
    <row r="103" spans="1:27" s="154" customFormat="1" ht="18.75" customHeight="1">
      <c r="A103" s="206"/>
      <c r="B103" s="102"/>
      <c r="C103" s="19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9"/>
      <c r="Q103" s="109"/>
      <c r="R103" s="109"/>
      <c r="S103" s="109"/>
      <c r="T103" s="109"/>
      <c r="U103" s="168"/>
      <c r="V103" s="168"/>
      <c r="W103" s="168"/>
      <c r="X103" s="168"/>
      <c r="Y103" s="168"/>
      <c r="Z103" s="168"/>
      <c r="AA103" s="168"/>
    </row>
    <row r="104" spans="1:27" s="154" customFormat="1" ht="18.75" customHeight="1">
      <c r="A104" s="206"/>
      <c r="B104" s="102"/>
      <c r="C104" s="102"/>
      <c r="D104" s="102"/>
      <c r="E104" s="102"/>
      <c r="F104" s="102"/>
      <c r="G104" s="210"/>
      <c r="H104" s="132"/>
      <c r="J104" s="102"/>
      <c r="K104" s="147"/>
      <c r="L104" s="132"/>
      <c r="M104" s="147"/>
      <c r="N104" s="132"/>
      <c r="O104" s="102"/>
      <c r="P104" s="109"/>
      <c r="Q104" s="109"/>
      <c r="R104" s="109"/>
      <c r="S104" s="109"/>
      <c r="T104" s="109"/>
      <c r="U104" s="168"/>
      <c r="V104" s="168"/>
      <c r="W104" s="168"/>
      <c r="X104" s="168"/>
      <c r="Y104" s="168"/>
      <c r="Z104" s="168"/>
      <c r="AA104" s="168"/>
    </row>
    <row r="105" spans="1:27" s="154" customFormat="1" ht="7.5" customHeight="1">
      <c r="A105" s="144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9"/>
      <c r="Q105" s="109"/>
      <c r="R105" s="109"/>
      <c r="S105" s="109"/>
      <c r="T105" s="109"/>
      <c r="U105" s="168"/>
      <c r="V105" s="168"/>
      <c r="W105" s="168"/>
      <c r="X105" s="168"/>
      <c r="Y105" s="168"/>
      <c r="Z105" s="168"/>
      <c r="AA105" s="168"/>
    </row>
    <row r="106" spans="1:27" s="154" customFormat="1" ht="28.5" customHeight="1">
      <c r="A106" s="21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99"/>
      <c r="Q106" s="199"/>
      <c r="R106" s="199"/>
      <c r="S106" s="212"/>
      <c r="T106" s="212"/>
      <c r="U106" s="150"/>
      <c r="V106" s="150"/>
      <c r="W106" s="213"/>
      <c r="X106" s="191"/>
      <c r="Y106" s="102"/>
      <c r="Z106" s="168"/>
      <c r="AA106" s="168"/>
    </row>
    <row r="107" spans="1:27" s="154" customFormat="1" ht="31.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99"/>
      <c r="Q107" s="145"/>
      <c r="R107" s="212"/>
      <c r="S107" s="212"/>
      <c r="T107" s="212"/>
      <c r="U107" s="212"/>
      <c r="V107" s="214"/>
      <c r="W107" s="212"/>
      <c r="X107" s="102"/>
      <c r="Y107" s="102"/>
      <c r="Z107" s="168"/>
      <c r="AA107" s="168"/>
    </row>
    <row r="108" spans="1:27" s="154" customFormat="1" ht="18" customHeight="1">
      <c r="A108" s="215"/>
      <c r="B108" s="151"/>
      <c r="C108" s="151"/>
      <c r="D108" s="151"/>
      <c r="E108" s="151"/>
      <c r="F108" s="151"/>
      <c r="G108" s="216"/>
      <c r="H108" s="79"/>
      <c r="I108" s="217"/>
      <c r="J108" s="175"/>
      <c r="K108" s="175"/>
      <c r="L108" s="184"/>
      <c r="M108" s="184"/>
      <c r="N108" s="79"/>
      <c r="O108" s="78"/>
      <c r="P108" s="199"/>
      <c r="Q108" s="199"/>
      <c r="R108" s="218"/>
      <c r="S108" s="218"/>
      <c r="T108" s="218"/>
      <c r="U108" s="218"/>
      <c r="V108" s="218"/>
      <c r="W108" s="218"/>
      <c r="X108" s="102"/>
      <c r="Y108" s="102"/>
      <c r="Z108" s="168"/>
      <c r="AA108" s="168"/>
    </row>
    <row r="109" spans="1:27" s="154" customFormat="1" ht="22.5" customHeight="1">
      <c r="A109" s="151"/>
      <c r="B109" s="151"/>
      <c r="C109" s="151"/>
      <c r="D109" s="151"/>
      <c r="E109" s="151"/>
      <c r="F109" s="151"/>
      <c r="H109" s="79"/>
      <c r="I109" s="105"/>
      <c r="J109" s="155"/>
      <c r="K109" s="219"/>
      <c r="L109" s="220"/>
      <c r="M109" s="221"/>
      <c r="N109" s="222"/>
      <c r="O109" s="78"/>
      <c r="P109" s="199"/>
      <c r="Q109" s="153"/>
      <c r="R109" s="214"/>
      <c r="S109" s="214"/>
      <c r="T109" s="214"/>
      <c r="U109" s="214"/>
      <c r="V109" s="214"/>
      <c r="W109" s="214"/>
      <c r="X109" s="212"/>
      <c r="Y109" s="102"/>
      <c r="Z109" s="168"/>
      <c r="AA109" s="168"/>
    </row>
    <row r="110" spans="1:27" s="154" customFormat="1" ht="18" customHeight="1">
      <c r="A110" s="159"/>
      <c r="B110" s="151"/>
      <c r="C110" s="151"/>
      <c r="D110" s="151"/>
      <c r="E110" s="151"/>
      <c r="F110" s="151"/>
      <c r="H110" s="79"/>
      <c r="I110" s="223"/>
      <c r="J110" s="79"/>
      <c r="K110" s="224"/>
      <c r="L110" s="220"/>
      <c r="M110" s="221"/>
      <c r="N110" s="222"/>
      <c r="O110" s="79"/>
      <c r="P110" s="199"/>
      <c r="Q110" s="199"/>
      <c r="R110" s="225"/>
      <c r="S110" s="225"/>
      <c r="T110" s="225"/>
      <c r="U110" s="225"/>
      <c r="V110" s="225"/>
      <c r="W110" s="226"/>
      <c r="X110" s="225"/>
      <c r="Y110" s="102"/>
      <c r="Z110" s="168"/>
      <c r="AA110" s="168"/>
    </row>
    <row r="111" spans="1:27" s="154" customFormat="1" ht="18" customHeight="1">
      <c r="A111" s="151"/>
      <c r="B111" s="151"/>
      <c r="C111" s="151"/>
      <c r="D111" s="151"/>
      <c r="E111" s="151"/>
      <c r="F111" s="151"/>
      <c r="H111" s="79"/>
      <c r="I111" s="105"/>
      <c r="J111" s="155"/>
      <c r="K111" s="224"/>
      <c r="L111" s="220"/>
      <c r="M111" s="221"/>
      <c r="N111" s="222"/>
      <c r="O111" s="78"/>
      <c r="P111" s="199"/>
      <c r="Q111" s="227"/>
      <c r="R111" s="225"/>
      <c r="S111" s="225"/>
      <c r="T111" s="225"/>
      <c r="U111" s="225"/>
      <c r="V111" s="225"/>
      <c r="W111" s="226"/>
      <c r="X111" s="225"/>
      <c r="Y111" s="102"/>
      <c r="Z111" s="168"/>
      <c r="AA111" s="168"/>
    </row>
    <row r="112" spans="1:27" s="154" customFormat="1" ht="18" customHeight="1">
      <c r="A112" s="151"/>
      <c r="B112" s="151"/>
      <c r="C112" s="151"/>
      <c r="D112" s="151"/>
      <c r="E112" s="151"/>
      <c r="F112" s="151"/>
      <c r="H112" s="79"/>
      <c r="I112" s="105"/>
      <c r="J112" s="155"/>
      <c r="K112" s="224"/>
      <c r="L112" s="220"/>
      <c r="M112" s="221"/>
      <c r="N112" s="222"/>
      <c r="O112" s="78"/>
      <c r="P112" s="199"/>
      <c r="Q112" s="199"/>
      <c r="R112" s="225"/>
      <c r="S112" s="225"/>
      <c r="T112" s="225"/>
      <c r="U112" s="225"/>
      <c r="V112" s="225"/>
      <c r="W112" s="226"/>
      <c r="X112" s="225"/>
      <c r="Y112" s="102"/>
      <c r="Z112" s="168"/>
      <c r="AA112" s="168"/>
    </row>
    <row r="113" spans="1:27" s="154" customFormat="1" ht="18" customHeight="1">
      <c r="A113" s="151"/>
      <c r="B113" s="151"/>
      <c r="C113" s="151"/>
      <c r="D113" s="151"/>
      <c r="E113" s="151"/>
      <c r="F113" s="151"/>
      <c r="H113" s="79"/>
      <c r="I113" s="105"/>
      <c r="J113" s="155"/>
      <c r="K113" s="224"/>
      <c r="L113" s="220"/>
      <c r="M113" s="221"/>
      <c r="N113" s="222"/>
      <c r="O113" s="78"/>
      <c r="P113" s="199"/>
      <c r="Q113" s="199"/>
      <c r="R113" s="225"/>
      <c r="S113" s="225"/>
      <c r="T113" s="225"/>
      <c r="U113" s="225"/>
      <c r="V113" s="225"/>
      <c r="W113" s="226"/>
      <c r="X113" s="225"/>
      <c r="Y113" s="102"/>
      <c r="Z113" s="168"/>
      <c r="AA113" s="168"/>
    </row>
    <row r="114" spans="1:27" s="154" customFormat="1" ht="18" customHeight="1">
      <c r="A114" s="151"/>
      <c r="B114" s="151"/>
      <c r="C114" s="151"/>
      <c r="D114" s="151"/>
      <c r="E114" s="151"/>
      <c r="F114" s="151"/>
      <c r="H114" s="79"/>
      <c r="I114" s="105"/>
      <c r="J114" s="155"/>
      <c r="K114" s="224"/>
      <c r="L114" s="220"/>
      <c r="M114" s="228"/>
      <c r="N114" s="229"/>
      <c r="O114" s="78"/>
      <c r="P114" s="199"/>
      <c r="Q114" s="199"/>
      <c r="R114" s="225"/>
      <c r="S114" s="225"/>
      <c r="T114" s="225"/>
      <c r="U114" s="225"/>
      <c r="V114" s="225"/>
      <c r="W114" s="226"/>
      <c r="X114" s="225"/>
      <c r="Y114" s="102"/>
      <c r="Z114" s="168"/>
      <c r="AA114" s="168"/>
    </row>
    <row r="115" spans="1:27" s="154" customFormat="1" ht="18" customHeight="1">
      <c r="A115" s="151"/>
      <c r="B115" s="151"/>
      <c r="C115" s="151"/>
      <c r="D115" s="151"/>
      <c r="E115" s="151"/>
      <c r="F115" s="151"/>
      <c r="H115" s="79"/>
      <c r="I115" s="105"/>
      <c r="J115" s="155"/>
      <c r="K115" s="224"/>
      <c r="L115" s="220"/>
      <c r="M115" s="221"/>
      <c r="N115" s="222"/>
      <c r="O115" s="78"/>
      <c r="P115" s="199"/>
      <c r="Q115" s="199"/>
      <c r="R115" s="225"/>
      <c r="S115" s="225"/>
      <c r="T115" s="225"/>
      <c r="U115" s="225"/>
      <c r="V115" s="225"/>
      <c r="W115" s="226"/>
      <c r="X115" s="225"/>
      <c r="Y115" s="102"/>
      <c r="Z115" s="168"/>
      <c r="AA115" s="168"/>
    </row>
    <row r="116" spans="1:27" s="154" customFormat="1" ht="18" customHeight="1">
      <c r="A116" s="151"/>
      <c r="B116" s="151"/>
      <c r="C116" s="151"/>
      <c r="D116" s="151"/>
      <c r="E116" s="151"/>
      <c r="F116" s="151"/>
      <c r="H116" s="79"/>
      <c r="I116" s="105"/>
      <c r="J116" s="155"/>
      <c r="K116" s="224"/>
      <c r="L116" s="220"/>
      <c r="M116" s="221"/>
      <c r="N116" s="222"/>
      <c r="O116" s="78"/>
      <c r="P116" s="199"/>
      <c r="Q116" s="199"/>
      <c r="R116" s="225"/>
      <c r="S116" s="225"/>
      <c r="T116" s="225"/>
      <c r="U116" s="225"/>
      <c r="V116" s="225"/>
      <c r="W116" s="226"/>
      <c r="X116" s="225"/>
      <c r="Y116" s="102"/>
      <c r="Z116" s="168"/>
      <c r="AA116" s="168"/>
    </row>
    <row r="117" spans="1:27" s="154" customFormat="1" ht="18" customHeight="1">
      <c r="A117" s="151"/>
      <c r="B117" s="151"/>
      <c r="C117" s="151"/>
      <c r="D117" s="151"/>
      <c r="E117" s="151"/>
      <c r="F117" s="151"/>
      <c r="H117" s="79"/>
      <c r="I117" s="105"/>
      <c r="J117" s="155"/>
      <c r="K117" s="224"/>
      <c r="L117" s="220"/>
      <c r="M117" s="228"/>
      <c r="N117" s="229"/>
      <c r="O117" s="78"/>
      <c r="P117" s="199"/>
      <c r="Q117" s="199"/>
      <c r="R117" s="225"/>
      <c r="S117" s="225"/>
      <c r="T117" s="225"/>
      <c r="U117" s="225"/>
      <c r="V117" s="225"/>
      <c r="W117" s="226"/>
      <c r="X117" s="225"/>
      <c r="Y117" s="102"/>
      <c r="Z117" s="168"/>
      <c r="AA117" s="168"/>
    </row>
    <row r="118" spans="1:27" s="154" customFormat="1" ht="18" customHeight="1">
      <c r="A118" s="151"/>
      <c r="B118" s="151"/>
      <c r="C118" s="151"/>
      <c r="D118" s="151"/>
      <c r="E118" s="151"/>
      <c r="F118" s="151"/>
      <c r="H118" s="79"/>
      <c r="I118" s="105"/>
      <c r="J118" s="155"/>
      <c r="K118" s="224"/>
      <c r="L118" s="220"/>
      <c r="M118" s="221"/>
      <c r="N118" s="222"/>
      <c r="O118" s="78"/>
      <c r="P118" s="199"/>
      <c r="Q118" s="199"/>
      <c r="R118" s="225"/>
      <c r="S118" s="225"/>
      <c r="T118" s="225"/>
      <c r="U118" s="225"/>
      <c r="V118" s="225"/>
      <c r="W118" s="226"/>
      <c r="X118" s="225"/>
      <c r="Y118" s="102"/>
      <c r="Z118" s="168"/>
      <c r="AA118" s="168"/>
    </row>
    <row r="119" spans="1:27" s="154" customFormat="1" ht="18" customHeight="1">
      <c r="A119" s="151"/>
      <c r="B119" s="151"/>
      <c r="C119" s="151"/>
      <c r="D119" s="151"/>
      <c r="E119" s="151"/>
      <c r="F119" s="151"/>
      <c r="H119" s="79"/>
      <c r="I119" s="105"/>
      <c r="J119" s="155"/>
      <c r="K119" s="224"/>
      <c r="L119" s="220"/>
      <c r="M119" s="221"/>
      <c r="N119" s="222"/>
      <c r="O119" s="78"/>
      <c r="P119" s="199"/>
      <c r="Q119" s="199"/>
      <c r="R119" s="225"/>
      <c r="S119" s="225"/>
      <c r="T119" s="225"/>
      <c r="U119" s="225"/>
      <c r="V119" s="225"/>
      <c r="W119" s="226"/>
      <c r="X119" s="225"/>
      <c r="Y119" s="102"/>
      <c r="Z119" s="168"/>
      <c r="AA119" s="168"/>
    </row>
    <row r="120" spans="1:27" s="154" customFormat="1" ht="18" customHeight="1">
      <c r="A120" s="151"/>
      <c r="B120" s="151"/>
      <c r="C120" s="151"/>
      <c r="D120" s="151"/>
      <c r="E120" s="151"/>
      <c r="F120" s="151"/>
      <c r="H120" s="79"/>
      <c r="I120" s="105"/>
      <c r="J120" s="155"/>
      <c r="K120" s="224"/>
      <c r="L120" s="220"/>
      <c r="M120" s="228"/>
      <c r="N120" s="229"/>
      <c r="O120" s="78"/>
      <c r="P120" s="199"/>
      <c r="Q120" s="199"/>
      <c r="R120" s="225"/>
      <c r="S120" s="225"/>
      <c r="T120" s="225"/>
      <c r="U120" s="225"/>
      <c r="V120" s="225"/>
      <c r="W120" s="225"/>
      <c r="X120" s="225"/>
      <c r="Y120" s="102"/>
      <c r="Z120" s="168"/>
      <c r="AA120" s="168"/>
    </row>
    <row r="121" spans="1:27" s="154" customFormat="1" ht="18" customHeight="1">
      <c r="A121" s="151"/>
      <c r="B121" s="151"/>
      <c r="C121" s="151"/>
      <c r="D121" s="151"/>
      <c r="E121" s="151"/>
      <c r="F121" s="151"/>
      <c r="H121" s="79"/>
      <c r="I121" s="105"/>
      <c r="J121" s="155"/>
      <c r="K121" s="224"/>
      <c r="L121" s="220"/>
      <c r="M121" s="221"/>
      <c r="N121" s="222"/>
      <c r="O121" s="78"/>
      <c r="P121" s="199"/>
      <c r="Q121" s="199"/>
      <c r="R121" s="225"/>
      <c r="S121" s="225"/>
      <c r="T121" s="225"/>
      <c r="U121" s="225"/>
      <c r="V121" s="225"/>
      <c r="W121" s="225"/>
      <c r="X121" s="225"/>
      <c r="Y121" s="102"/>
      <c r="Z121" s="168"/>
      <c r="AA121" s="168"/>
    </row>
    <row r="122" spans="1:27" s="154" customFormat="1" ht="19.5" customHeight="1">
      <c r="A122" s="230"/>
      <c r="B122" s="151"/>
      <c r="C122" s="151"/>
      <c r="D122" s="151"/>
      <c r="E122" s="151"/>
      <c r="F122" s="151"/>
      <c r="H122" s="78"/>
      <c r="I122" s="105"/>
      <c r="J122" s="155"/>
      <c r="K122" s="105"/>
      <c r="L122" s="231"/>
      <c r="M122" s="145"/>
      <c r="N122" s="222"/>
      <c r="O122" s="78"/>
      <c r="P122" s="199"/>
      <c r="Q122" s="199"/>
      <c r="R122" s="225"/>
      <c r="S122" s="225"/>
      <c r="T122" s="225"/>
      <c r="U122" s="225"/>
      <c r="V122" s="225"/>
      <c r="W122" s="225"/>
      <c r="X122" s="225"/>
      <c r="Y122" s="102"/>
      <c r="Z122" s="168"/>
      <c r="AA122" s="168"/>
    </row>
    <row r="123" spans="1:27" s="154" customFormat="1" ht="16.5" customHeight="1">
      <c r="A123" s="232"/>
      <c r="B123" s="151"/>
      <c r="C123" s="151"/>
      <c r="D123" s="151"/>
      <c r="E123" s="151"/>
      <c r="F123" s="151"/>
      <c r="H123" s="79"/>
      <c r="I123" s="223"/>
      <c r="J123" s="155"/>
      <c r="K123" s="224"/>
      <c r="L123" s="220"/>
      <c r="M123" s="228"/>
      <c r="N123" s="222"/>
      <c r="O123" s="78"/>
      <c r="P123" s="199"/>
      <c r="Q123" s="233"/>
      <c r="R123" s="225"/>
      <c r="S123" s="225"/>
      <c r="T123" s="225"/>
      <c r="U123" s="225"/>
      <c r="V123" s="225"/>
      <c r="W123" s="225"/>
      <c r="X123" s="225"/>
      <c r="Y123" s="102"/>
      <c r="Z123" s="168"/>
      <c r="AA123" s="168"/>
    </row>
    <row r="124" spans="1:27" s="154" customFormat="1" ht="18" customHeight="1">
      <c r="A124" s="159"/>
      <c r="B124" s="151"/>
      <c r="C124" s="151"/>
      <c r="D124" s="151"/>
      <c r="E124" s="151"/>
      <c r="F124" s="151"/>
      <c r="H124" s="78"/>
      <c r="I124" s="105"/>
      <c r="J124" s="155"/>
      <c r="K124" s="234"/>
      <c r="M124" s="228"/>
      <c r="N124" s="222"/>
      <c r="O124" s="78"/>
      <c r="P124" s="199"/>
      <c r="Q124" s="233"/>
      <c r="R124" s="225"/>
      <c r="S124" s="225"/>
      <c r="T124" s="225"/>
      <c r="U124" s="225"/>
      <c r="V124" s="225"/>
      <c r="W124" s="225"/>
      <c r="X124" s="225"/>
      <c r="Y124" s="102"/>
      <c r="Z124" s="168"/>
      <c r="AA124" s="168"/>
    </row>
    <row r="125" spans="1:27" s="154" customFormat="1" ht="18" customHeight="1">
      <c r="A125" s="215"/>
      <c r="B125" s="151"/>
      <c r="C125" s="151"/>
      <c r="D125" s="151"/>
      <c r="E125" s="151"/>
      <c r="F125" s="151"/>
      <c r="H125" s="182"/>
      <c r="I125" s="79"/>
      <c r="J125" s="79"/>
      <c r="K125" s="235"/>
      <c r="L125" s="235"/>
      <c r="M125" s="155"/>
      <c r="N125" s="155"/>
      <c r="O125" s="79"/>
      <c r="P125" s="199"/>
      <c r="Q125" s="199"/>
      <c r="R125" s="226"/>
      <c r="S125" s="226"/>
      <c r="T125" s="226"/>
      <c r="U125" s="226"/>
      <c r="V125" s="226"/>
      <c r="W125" s="226"/>
      <c r="X125" s="226"/>
      <c r="Y125" s="102"/>
      <c r="Z125" s="168"/>
      <c r="AA125" s="168"/>
    </row>
    <row r="126" spans="1:27" s="154" customFormat="1" ht="18" customHeight="1">
      <c r="A126" s="215"/>
      <c r="B126" s="151"/>
      <c r="C126" s="151"/>
      <c r="D126" s="151"/>
      <c r="E126" s="151"/>
      <c r="F126" s="151"/>
      <c r="H126" s="79"/>
      <c r="I126" s="79"/>
      <c r="J126" s="79"/>
      <c r="L126" s="184"/>
      <c r="M126" s="151"/>
      <c r="N126" s="151"/>
      <c r="O126" s="102"/>
      <c r="P126" s="199"/>
      <c r="Q126" s="199"/>
      <c r="R126" s="199"/>
      <c r="S126" s="199"/>
      <c r="T126" s="199"/>
      <c r="U126" s="102"/>
      <c r="V126" s="102"/>
      <c r="W126" s="102"/>
      <c r="X126" s="102"/>
      <c r="Y126" s="102"/>
      <c r="Z126" s="168"/>
      <c r="AA126" s="168"/>
    </row>
    <row r="127" spans="1:27" s="154" customFormat="1" ht="18" customHeight="1">
      <c r="A127" s="159"/>
      <c r="B127" s="151"/>
      <c r="C127" s="151"/>
      <c r="D127" s="151"/>
      <c r="E127" s="151"/>
      <c r="F127" s="151"/>
      <c r="H127" s="79"/>
      <c r="I127" s="223"/>
      <c r="J127" s="224"/>
      <c r="K127" s="224"/>
      <c r="L127" s="236"/>
      <c r="M127" s="151"/>
      <c r="N127" s="151"/>
      <c r="O127" s="102"/>
      <c r="P127" s="199"/>
      <c r="Q127" s="145"/>
      <c r="R127" s="150"/>
      <c r="S127" s="150"/>
      <c r="T127" s="237"/>
      <c r="U127" s="102"/>
      <c r="V127" s="102"/>
      <c r="W127" s="102"/>
      <c r="X127" s="102"/>
      <c r="Y127" s="102"/>
      <c r="Z127" s="168"/>
      <c r="AA127" s="168"/>
    </row>
    <row r="128" spans="1:27" s="154" customFormat="1" ht="18" customHeight="1">
      <c r="A128" s="151"/>
      <c r="B128" s="151"/>
      <c r="C128" s="151"/>
      <c r="D128" s="151"/>
      <c r="E128" s="151"/>
      <c r="F128" s="151"/>
      <c r="H128" s="79"/>
      <c r="I128" s="223"/>
      <c r="J128" s="224"/>
      <c r="K128" s="224"/>
      <c r="L128" s="236"/>
      <c r="M128" s="151"/>
      <c r="N128" s="151"/>
      <c r="O128" s="102"/>
      <c r="P128" s="199"/>
      <c r="Q128" s="153"/>
      <c r="R128" s="212"/>
      <c r="S128" s="212"/>
      <c r="T128" s="212"/>
      <c r="U128" s="212"/>
      <c r="V128" s="102"/>
      <c r="W128" s="102"/>
      <c r="X128" s="102"/>
      <c r="Y128" s="102"/>
      <c r="Z128" s="168"/>
      <c r="AA128" s="168"/>
    </row>
    <row r="129" spans="1:27" s="154" customFormat="1" ht="18" customHeight="1">
      <c r="A129" s="151"/>
      <c r="B129" s="151"/>
      <c r="C129" s="151"/>
      <c r="D129" s="151"/>
      <c r="E129" s="151"/>
      <c r="F129" s="151"/>
      <c r="H129" s="79"/>
      <c r="I129" s="223"/>
      <c r="J129" s="224"/>
      <c r="K129" s="224"/>
      <c r="L129" s="236"/>
      <c r="M129" s="151"/>
      <c r="N129" s="151"/>
      <c r="O129" s="102"/>
      <c r="P129" s="199"/>
      <c r="Q129" s="232"/>
      <c r="R129" s="225"/>
      <c r="S129" s="225"/>
      <c r="T129" s="225"/>
      <c r="U129" s="225"/>
      <c r="V129" s="102"/>
      <c r="W129" s="102"/>
      <c r="X129" s="102"/>
      <c r="Y129" s="102"/>
      <c r="Z129" s="168"/>
      <c r="AA129" s="168"/>
    </row>
    <row r="130" spans="1:27" s="154" customFormat="1" ht="18" customHeight="1">
      <c r="A130" s="215"/>
      <c r="B130" s="151"/>
      <c r="C130" s="151"/>
      <c r="D130" s="151"/>
      <c r="E130" s="151"/>
      <c r="F130" s="151"/>
      <c r="G130" s="151"/>
      <c r="H130" s="79"/>
      <c r="I130" s="79"/>
      <c r="J130" s="79"/>
      <c r="K130" s="238"/>
      <c r="L130" s="236"/>
      <c r="M130" s="239"/>
      <c r="N130" s="222"/>
      <c r="O130" s="79"/>
      <c r="P130" s="199"/>
      <c r="Q130" s="151"/>
      <c r="R130" s="225"/>
      <c r="S130" s="225"/>
      <c r="T130" s="225"/>
      <c r="U130" s="225"/>
      <c r="V130" s="102"/>
      <c r="W130" s="102"/>
      <c r="X130" s="102"/>
      <c r="Y130" s="102"/>
      <c r="Z130" s="168"/>
      <c r="AA130" s="168"/>
    </row>
    <row r="131" spans="1:27" s="154" customFormat="1" ht="18" customHeight="1">
      <c r="A131" s="215"/>
      <c r="B131" s="151"/>
      <c r="C131" s="151"/>
      <c r="D131" s="151"/>
      <c r="E131" s="151"/>
      <c r="F131" s="151"/>
      <c r="H131" s="79"/>
      <c r="I131" s="79"/>
      <c r="J131" s="79"/>
      <c r="L131" s="184"/>
      <c r="M131" s="151"/>
      <c r="N131" s="151"/>
      <c r="O131" s="102"/>
      <c r="P131" s="199"/>
      <c r="Q131" s="151"/>
      <c r="R131" s="225"/>
      <c r="S131" s="225"/>
      <c r="T131" s="225"/>
      <c r="U131" s="225"/>
      <c r="V131" s="102"/>
      <c r="W131" s="102"/>
      <c r="X131" s="102"/>
      <c r="Y131" s="102"/>
      <c r="Z131" s="168"/>
      <c r="AA131" s="168"/>
    </row>
    <row r="132" spans="1:27" s="154" customFormat="1" ht="18" customHeight="1">
      <c r="A132" s="151"/>
      <c r="B132" s="151"/>
      <c r="C132" s="151"/>
      <c r="D132" s="151"/>
      <c r="E132" s="151"/>
      <c r="F132" s="151"/>
      <c r="G132" s="184"/>
      <c r="H132" s="240"/>
      <c r="I132" s="223"/>
      <c r="J132" s="155"/>
      <c r="K132" s="224"/>
      <c r="L132" s="236"/>
      <c r="M132" s="241"/>
      <c r="N132" s="151"/>
      <c r="O132" s="102"/>
      <c r="P132" s="199"/>
      <c r="Q132" s="102"/>
      <c r="R132" s="226"/>
      <c r="S132" s="226"/>
      <c r="T132" s="226"/>
      <c r="U132" s="226"/>
      <c r="V132" s="102"/>
      <c r="W132" s="102"/>
      <c r="X132" s="102"/>
      <c r="Y132" s="102"/>
      <c r="Z132" s="168"/>
      <c r="AA132" s="168"/>
    </row>
    <row r="133" spans="1:27" s="154" customFormat="1" ht="18" customHeight="1">
      <c r="A133" s="151"/>
      <c r="B133" s="151"/>
      <c r="C133" s="151"/>
      <c r="D133" s="151"/>
      <c r="E133" s="151"/>
      <c r="F133" s="151"/>
      <c r="G133" s="184"/>
      <c r="H133" s="240"/>
      <c r="I133" s="105"/>
      <c r="J133" s="155"/>
      <c r="K133" s="224"/>
      <c r="L133" s="236"/>
      <c r="M133" s="151"/>
      <c r="N133" s="151"/>
      <c r="O133" s="102"/>
      <c r="P133" s="199"/>
      <c r="Q133" s="199"/>
      <c r="R133" s="212"/>
      <c r="S133" s="212"/>
      <c r="T133" s="145"/>
      <c r="U133" s="102"/>
      <c r="V133" s="102"/>
      <c r="W133" s="102"/>
      <c r="X133" s="102"/>
      <c r="Y133" s="102"/>
      <c r="Z133" s="168"/>
      <c r="AA133" s="168"/>
    </row>
    <row r="134" spans="1:27" s="154" customFormat="1" ht="18" customHeight="1">
      <c r="A134" s="151"/>
      <c r="B134" s="151"/>
      <c r="C134" s="151"/>
      <c r="D134" s="151"/>
      <c r="E134" s="151"/>
      <c r="F134" s="151"/>
      <c r="G134" s="184"/>
      <c r="H134" s="240"/>
      <c r="I134" s="105"/>
      <c r="J134" s="155"/>
      <c r="K134" s="224"/>
      <c r="L134" s="236"/>
      <c r="M134" s="151"/>
      <c r="N134" s="151"/>
      <c r="O134" s="102"/>
      <c r="P134" s="199"/>
      <c r="Q134" s="153"/>
      <c r="R134" s="212"/>
      <c r="S134" s="212"/>
      <c r="T134" s="199"/>
      <c r="U134" s="102"/>
      <c r="V134" s="102"/>
      <c r="W134" s="102"/>
      <c r="X134" s="102"/>
      <c r="Y134" s="102"/>
      <c r="Z134" s="168"/>
      <c r="AA134" s="168"/>
    </row>
    <row r="135" spans="1:27" s="154" customFormat="1" ht="18" customHeight="1">
      <c r="A135" s="215"/>
      <c r="B135" s="151"/>
      <c r="C135" s="151"/>
      <c r="D135" s="151"/>
      <c r="E135" s="151"/>
      <c r="F135" s="151"/>
      <c r="G135" s="151"/>
      <c r="H135" s="79"/>
      <c r="I135" s="79"/>
      <c r="J135" s="79"/>
      <c r="L135" s="236"/>
      <c r="M135" s="239"/>
      <c r="N135" s="229"/>
      <c r="O135" s="78"/>
      <c r="P135" s="199"/>
      <c r="Q135" s="151"/>
      <c r="R135" s="242"/>
      <c r="S135" s="242"/>
      <c r="T135" s="199"/>
      <c r="U135" s="102"/>
      <c r="V135" s="102"/>
      <c r="W135" s="102"/>
      <c r="X135" s="102"/>
      <c r="Y135" s="102"/>
      <c r="Z135" s="168"/>
      <c r="AA135" s="168"/>
    </row>
    <row r="136" spans="1:27" s="154" customFormat="1" ht="18" customHeight="1">
      <c r="A136" s="215"/>
      <c r="B136" s="151"/>
      <c r="C136" s="151"/>
      <c r="D136" s="151"/>
      <c r="E136" s="151"/>
      <c r="F136" s="151"/>
      <c r="G136" s="151"/>
      <c r="H136" s="151"/>
      <c r="I136" s="79"/>
      <c r="J136" s="79"/>
      <c r="K136" s="151"/>
      <c r="L136" s="151"/>
      <c r="N136" s="222"/>
      <c r="O136" s="78"/>
      <c r="P136" s="199"/>
      <c r="Q136" s="151"/>
      <c r="R136" s="242"/>
      <c r="S136" s="242"/>
      <c r="T136" s="199"/>
      <c r="U136" s="102"/>
      <c r="V136" s="102"/>
      <c r="W136" s="102"/>
      <c r="X136" s="102"/>
      <c r="Y136" s="102"/>
      <c r="Z136" s="168"/>
      <c r="AA136" s="168"/>
    </row>
    <row r="137" spans="1:27" s="154" customFormat="1" ht="15" customHeight="1">
      <c r="A137" s="159"/>
      <c r="B137" s="151"/>
      <c r="C137" s="151"/>
      <c r="D137" s="151"/>
      <c r="E137" s="151"/>
      <c r="F137" s="151"/>
      <c r="G137" s="151"/>
      <c r="H137" s="151"/>
      <c r="I137" s="79"/>
      <c r="J137" s="79"/>
      <c r="K137" s="156"/>
      <c r="L137" s="151"/>
      <c r="N137" s="155"/>
      <c r="O137" s="78"/>
      <c r="P137" s="199"/>
      <c r="Q137" s="151"/>
      <c r="R137" s="242"/>
      <c r="S137" s="242"/>
      <c r="T137" s="199"/>
      <c r="U137" s="102"/>
      <c r="V137" s="102"/>
      <c r="W137" s="102"/>
      <c r="X137" s="102"/>
      <c r="Y137" s="102"/>
      <c r="Z137" s="168"/>
      <c r="AA137" s="168"/>
    </row>
    <row r="138" spans="1:27" s="238" customFormat="1" ht="13.5" customHeight="1">
      <c r="A138" s="243"/>
      <c r="B138" s="151"/>
      <c r="C138" s="151"/>
      <c r="D138" s="151"/>
      <c r="E138" s="151"/>
      <c r="F138" s="151"/>
      <c r="G138" s="157"/>
      <c r="H138" s="157"/>
      <c r="I138" s="158"/>
      <c r="J138" s="79"/>
      <c r="K138" s="184"/>
      <c r="L138" s="159"/>
      <c r="N138" s="222"/>
      <c r="O138" s="79"/>
      <c r="P138" s="244"/>
      <c r="Q138" s="151"/>
      <c r="R138" s="156"/>
      <c r="S138" s="156"/>
      <c r="T138" s="244"/>
      <c r="U138" s="151"/>
      <c r="V138" s="151"/>
      <c r="W138" s="151"/>
      <c r="X138" s="151"/>
      <c r="Y138" s="151"/>
      <c r="Z138" s="169"/>
      <c r="AA138" s="169"/>
    </row>
    <row r="139" spans="1:27" s="154" customFormat="1" ht="25.5" customHeight="1">
      <c r="A139" s="215"/>
      <c r="B139" s="151"/>
      <c r="C139" s="151"/>
      <c r="D139" s="151"/>
      <c r="E139" s="151"/>
      <c r="F139" s="151"/>
      <c r="G139" s="151"/>
      <c r="H139" s="151"/>
      <c r="I139" s="79"/>
      <c r="J139" s="79"/>
      <c r="K139" s="151"/>
      <c r="L139" s="151"/>
      <c r="N139" s="222"/>
      <c r="O139" s="78"/>
      <c r="P139" s="199"/>
      <c r="T139" s="199"/>
      <c r="U139" s="102"/>
      <c r="V139" s="102"/>
      <c r="W139" s="102"/>
      <c r="X139" s="102"/>
      <c r="Y139" s="102"/>
      <c r="Z139" s="168"/>
      <c r="AA139" s="168"/>
    </row>
    <row r="140" spans="1:27" s="154" customFormat="1" ht="18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K140" s="102"/>
      <c r="L140" s="102"/>
      <c r="M140" s="102"/>
      <c r="N140" s="102"/>
      <c r="O140" s="102"/>
      <c r="P140" s="199"/>
      <c r="Q140" s="199"/>
      <c r="R140" s="199"/>
      <c r="S140" s="199"/>
      <c r="T140" s="199"/>
      <c r="U140" s="102"/>
      <c r="V140" s="102"/>
      <c r="W140" s="102"/>
      <c r="X140" s="102"/>
      <c r="Y140" s="102"/>
      <c r="Z140" s="168"/>
      <c r="AA140" s="168"/>
    </row>
    <row r="141" spans="1:27" s="154" customFormat="1" ht="18" customHeight="1">
      <c r="A141" s="102"/>
      <c r="B141" s="102"/>
      <c r="C141" s="102"/>
      <c r="D141" s="102"/>
      <c r="E141" s="136"/>
      <c r="F141" s="102"/>
      <c r="G141" s="102"/>
      <c r="H141" s="245"/>
      <c r="I141" s="216"/>
      <c r="J141" s="160"/>
      <c r="K141" s="161"/>
      <c r="L141" s="102"/>
      <c r="M141" s="102"/>
      <c r="N141" s="102"/>
      <c r="O141" s="102"/>
      <c r="P141" s="199"/>
      <c r="Q141" s="199"/>
      <c r="R141" s="199"/>
      <c r="S141" s="199"/>
      <c r="T141" s="199"/>
      <c r="U141" s="102"/>
      <c r="V141" s="102"/>
      <c r="W141" s="102"/>
      <c r="X141" s="102"/>
      <c r="Y141" s="102"/>
      <c r="Z141" s="168"/>
      <c r="AA141" s="168"/>
    </row>
    <row r="142" spans="1:27" s="238" customFormat="1" ht="18" customHeight="1">
      <c r="A142" s="151"/>
      <c r="B142" s="151"/>
      <c r="C142" s="151"/>
      <c r="D142" s="151"/>
      <c r="E142" s="162"/>
      <c r="F142" s="159"/>
      <c r="G142" s="151"/>
      <c r="H142" s="246"/>
      <c r="I142" s="154"/>
      <c r="J142" s="154"/>
      <c r="K142" s="154"/>
      <c r="L142" s="236"/>
      <c r="M142" s="151"/>
      <c r="N142" s="151"/>
      <c r="O142" s="151"/>
      <c r="P142" s="244"/>
      <c r="Q142" s="244"/>
      <c r="R142" s="244"/>
      <c r="S142" s="244"/>
      <c r="T142" s="244"/>
      <c r="U142" s="151"/>
      <c r="V142" s="151"/>
      <c r="W142" s="151"/>
      <c r="X142" s="151"/>
      <c r="Y142" s="151"/>
      <c r="Z142" s="169"/>
      <c r="AA142" s="169"/>
    </row>
    <row r="143" spans="1:27" s="154" customFormat="1" ht="18" customHeight="1">
      <c r="A143" s="102"/>
      <c r="B143" s="102"/>
      <c r="C143" s="102"/>
      <c r="D143" s="78"/>
      <c r="E143" s="163"/>
      <c r="F143" s="171"/>
      <c r="G143" s="78"/>
      <c r="H143" s="245"/>
      <c r="I143" s="216"/>
      <c r="J143" s="164"/>
      <c r="K143" s="165"/>
      <c r="L143" s="102"/>
      <c r="M143" s="102"/>
      <c r="N143" s="102"/>
      <c r="O143" s="102"/>
      <c r="P143" s="199"/>
      <c r="Q143" s="199"/>
      <c r="R143" s="199"/>
      <c r="S143" s="199"/>
      <c r="T143" s="199"/>
      <c r="U143" s="102"/>
      <c r="V143" s="102"/>
      <c r="W143" s="102"/>
      <c r="X143" s="102"/>
      <c r="Y143" s="102"/>
      <c r="Z143" s="168"/>
      <c r="AA143" s="168"/>
    </row>
    <row r="144" spans="1:27" s="154" customFormat="1" ht="12.75" customHeight="1">
      <c r="A144" s="102"/>
      <c r="B144" s="102"/>
      <c r="C144" s="102"/>
      <c r="D144" s="102"/>
      <c r="E144" s="166"/>
      <c r="F144" s="166"/>
      <c r="G144" s="102"/>
      <c r="H144" s="102"/>
      <c r="I144" s="167"/>
      <c r="J144" s="167"/>
      <c r="K144" s="102"/>
      <c r="L144" s="102"/>
      <c r="M144" s="102"/>
      <c r="N144" s="102"/>
      <c r="O144" s="102"/>
      <c r="P144" s="199"/>
      <c r="Q144" s="199"/>
      <c r="R144" s="199"/>
      <c r="S144" s="199"/>
      <c r="T144" s="199"/>
      <c r="U144" s="102"/>
      <c r="V144" s="102"/>
      <c r="W144" s="102"/>
      <c r="X144" s="102"/>
      <c r="Y144" s="102"/>
      <c r="Z144" s="168"/>
      <c r="AA144" s="168"/>
    </row>
    <row r="145" spans="1:27" s="154" customFormat="1" ht="18.75" customHeight="1">
      <c r="A145" s="247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09"/>
      <c r="Q145" s="109"/>
      <c r="R145" s="109"/>
      <c r="S145" s="109"/>
      <c r="T145" s="109"/>
      <c r="U145" s="168"/>
      <c r="V145" s="168"/>
      <c r="W145" s="168"/>
      <c r="X145" s="168"/>
      <c r="Y145" s="168"/>
      <c r="Z145" s="168"/>
      <c r="AA145" s="168"/>
    </row>
    <row r="146" spans="1:27" s="154" customFormat="1" ht="18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09"/>
      <c r="Q146" s="109"/>
      <c r="R146" s="109"/>
      <c r="S146" s="109"/>
      <c r="T146" s="109"/>
      <c r="U146" s="168"/>
      <c r="V146" s="168"/>
      <c r="W146" s="168"/>
      <c r="X146" s="168"/>
      <c r="Y146" s="168"/>
      <c r="Z146" s="168"/>
      <c r="AA146" s="168"/>
    </row>
    <row r="147" spans="1:27" s="154" customFormat="1" ht="18.75" customHeight="1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248"/>
      <c r="N147" s="169"/>
      <c r="O147" s="168"/>
      <c r="P147" s="109"/>
      <c r="Q147" s="109"/>
      <c r="R147" s="109"/>
      <c r="S147" s="109"/>
      <c r="T147" s="109"/>
      <c r="U147" s="168"/>
      <c r="V147" s="168"/>
      <c r="W147" s="168"/>
      <c r="X147" s="168"/>
      <c r="Y147" s="168"/>
      <c r="Z147" s="168"/>
      <c r="AA147" s="168"/>
    </row>
    <row r="148" spans="1:27" s="154" customFormat="1" ht="18.75" customHeight="1">
      <c r="A148" s="249"/>
      <c r="B148" s="169"/>
      <c r="C148" s="169"/>
      <c r="D148" s="169"/>
      <c r="E148" s="169"/>
      <c r="F148" s="169"/>
      <c r="G148" s="169"/>
      <c r="H148" s="170"/>
      <c r="I148" s="217"/>
      <c r="J148" s="170"/>
      <c r="K148" s="248"/>
      <c r="L148" s="250"/>
      <c r="M148" s="248"/>
      <c r="N148" s="170"/>
      <c r="O148" s="251"/>
      <c r="P148" s="109"/>
      <c r="Q148" s="109"/>
      <c r="R148" s="109"/>
      <c r="S148" s="109"/>
      <c r="T148" s="109"/>
      <c r="U148" s="168"/>
      <c r="V148" s="168"/>
      <c r="W148" s="168"/>
      <c r="X148" s="168"/>
      <c r="Y148" s="168"/>
      <c r="Z148" s="168"/>
      <c r="AA148" s="168"/>
    </row>
    <row r="149" spans="1:27" s="154" customFormat="1" ht="18.75" customHeight="1">
      <c r="A149" s="169"/>
      <c r="B149" s="169"/>
      <c r="C149" s="169"/>
      <c r="D149" s="169"/>
      <c r="E149" s="169"/>
      <c r="F149" s="169"/>
      <c r="G149" s="252"/>
      <c r="H149" s="79"/>
      <c r="I149" s="217"/>
      <c r="J149" s="79"/>
      <c r="K149" s="253"/>
      <c r="L149" s="254"/>
      <c r="M149" s="253"/>
      <c r="N149" s="255"/>
      <c r="O149" s="256"/>
      <c r="P149" s="109"/>
      <c r="Q149" s="109"/>
      <c r="R149" s="109"/>
      <c r="S149" s="109"/>
      <c r="T149" s="109"/>
      <c r="U149" s="168"/>
      <c r="V149" s="168"/>
      <c r="W149" s="168"/>
      <c r="X149" s="168"/>
      <c r="Y149" s="168"/>
      <c r="Z149" s="168"/>
      <c r="AA149" s="168"/>
    </row>
    <row r="150" spans="1:27" s="154" customFormat="1" ht="18.75" customHeight="1">
      <c r="A150" s="169"/>
      <c r="B150" s="169"/>
      <c r="C150" s="169"/>
      <c r="D150" s="169"/>
      <c r="E150" s="169"/>
      <c r="F150" s="169"/>
      <c r="G150" s="252"/>
      <c r="H150" s="79"/>
      <c r="I150" s="217"/>
      <c r="J150" s="79"/>
      <c r="K150" s="253"/>
      <c r="L150" s="254"/>
      <c r="M150" s="253"/>
      <c r="N150" s="255"/>
      <c r="O150" s="256"/>
      <c r="P150" s="109"/>
      <c r="Q150" s="109"/>
      <c r="R150" s="109"/>
      <c r="S150" s="109"/>
      <c r="T150" s="109"/>
      <c r="U150" s="168"/>
      <c r="V150" s="168"/>
      <c r="W150" s="168"/>
      <c r="X150" s="168"/>
      <c r="Y150" s="168"/>
      <c r="Z150" s="168"/>
      <c r="AA150" s="168"/>
    </row>
    <row r="151" spans="1:27" s="154" customFormat="1" ht="18.75" customHeight="1">
      <c r="A151" s="169"/>
      <c r="B151" s="169"/>
      <c r="C151" s="169"/>
      <c r="D151" s="169"/>
      <c r="E151" s="169"/>
      <c r="F151" s="169"/>
      <c r="G151" s="252"/>
      <c r="H151" s="79"/>
      <c r="I151" s="217"/>
      <c r="J151" s="79"/>
      <c r="K151" s="253"/>
      <c r="L151" s="254"/>
      <c r="M151" s="253"/>
      <c r="N151" s="255"/>
      <c r="O151" s="256"/>
      <c r="P151" s="109"/>
      <c r="Q151" s="109"/>
      <c r="R151" s="109"/>
      <c r="S151" s="109"/>
      <c r="T151" s="109"/>
      <c r="U151" s="168"/>
      <c r="V151" s="168"/>
      <c r="W151" s="168"/>
      <c r="X151" s="168"/>
      <c r="Y151" s="168"/>
      <c r="Z151" s="168"/>
      <c r="AA151" s="168"/>
    </row>
    <row r="152" spans="1:27" s="154" customFormat="1" ht="18.75" customHeight="1">
      <c r="A152" s="257"/>
      <c r="B152" s="169"/>
      <c r="C152" s="169"/>
      <c r="D152" s="169"/>
      <c r="E152" s="169"/>
      <c r="F152" s="169"/>
      <c r="G152" s="252"/>
      <c r="H152" s="79"/>
      <c r="I152" s="217"/>
      <c r="J152" s="79"/>
      <c r="K152" s="253"/>
      <c r="L152" s="254"/>
      <c r="M152" s="253"/>
      <c r="N152" s="255"/>
      <c r="O152" s="256"/>
      <c r="P152" s="109"/>
      <c r="Q152" s="109"/>
      <c r="R152" s="109"/>
      <c r="S152" s="109"/>
      <c r="T152" s="109"/>
      <c r="U152" s="168"/>
      <c r="V152" s="168"/>
      <c r="W152" s="168"/>
      <c r="X152" s="168"/>
      <c r="Y152" s="168"/>
      <c r="Z152" s="168"/>
      <c r="AA152" s="168"/>
    </row>
    <row r="153" spans="1:27" s="154" customFormat="1" ht="14.25" customHeight="1">
      <c r="A153" s="257"/>
      <c r="B153" s="169"/>
      <c r="C153" s="169"/>
      <c r="D153" s="169"/>
      <c r="E153" s="169"/>
      <c r="F153" s="169"/>
      <c r="G153" s="252"/>
      <c r="H153" s="258"/>
      <c r="I153" s="79"/>
      <c r="J153" s="79"/>
      <c r="K153" s="253"/>
      <c r="L153" s="259"/>
      <c r="M153" s="253"/>
      <c r="N153" s="260"/>
      <c r="O153" s="256"/>
      <c r="P153" s="109"/>
      <c r="Q153" s="109"/>
      <c r="R153" s="109"/>
      <c r="S153" s="109"/>
      <c r="T153" s="109"/>
      <c r="U153" s="168"/>
      <c r="V153" s="168"/>
      <c r="W153" s="168"/>
      <c r="X153" s="168"/>
      <c r="Y153" s="168"/>
      <c r="Z153" s="168"/>
      <c r="AA153" s="168"/>
    </row>
    <row r="154" spans="1:27" s="216" customFormat="1" ht="12.75">
      <c r="A154" s="261"/>
      <c r="B154" s="262"/>
      <c r="C154" s="262"/>
      <c r="D154" s="262"/>
      <c r="E154" s="262"/>
      <c r="F154" s="262"/>
      <c r="G154" s="252"/>
      <c r="H154" s="79"/>
      <c r="I154" s="240"/>
      <c r="J154" s="79"/>
      <c r="K154" s="253"/>
      <c r="L154" s="254"/>
      <c r="M154" s="253"/>
      <c r="N154" s="255"/>
      <c r="O154" s="260"/>
      <c r="P154" s="263"/>
      <c r="Q154" s="263"/>
      <c r="R154" s="263"/>
      <c r="S154" s="263"/>
      <c r="T154" s="263"/>
      <c r="U154" s="262"/>
      <c r="V154" s="262"/>
      <c r="W154" s="262"/>
      <c r="X154" s="262"/>
      <c r="Y154" s="262"/>
      <c r="Z154" s="262"/>
      <c r="AA154" s="262"/>
    </row>
    <row r="155" spans="1:27" s="154" customFormat="1" ht="16.5" customHeight="1">
      <c r="A155" s="249"/>
      <c r="B155" s="170"/>
      <c r="D155" s="170"/>
      <c r="E155" s="170"/>
      <c r="F155" s="170"/>
      <c r="J155" s="79"/>
      <c r="N155" s="217"/>
      <c r="O155" s="256"/>
      <c r="P155" s="109"/>
      <c r="Q155" s="109"/>
      <c r="R155" s="109"/>
      <c r="S155" s="109"/>
      <c r="T155" s="109"/>
      <c r="U155" s="168"/>
      <c r="V155" s="168"/>
      <c r="W155" s="168"/>
      <c r="X155" s="168"/>
      <c r="Y155" s="168"/>
      <c r="Z155" s="168"/>
      <c r="AA155" s="168"/>
    </row>
    <row r="156" spans="3:27" s="154" customFormat="1" ht="13.5" customHeight="1">
      <c r="C156" s="264"/>
      <c r="D156" s="170"/>
      <c r="E156" s="170"/>
      <c r="F156" s="265"/>
      <c r="G156" s="252"/>
      <c r="H156" s="171"/>
      <c r="I156" s="171"/>
      <c r="J156" s="171"/>
      <c r="K156" s="266"/>
      <c r="L156" s="267"/>
      <c r="M156" s="266"/>
      <c r="N156" s="268"/>
      <c r="O156" s="269"/>
      <c r="P156" s="109"/>
      <c r="Q156" s="109"/>
      <c r="R156" s="109"/>
      <c r="S156" s="109"/>
      <c r="T156" s="109"/>
      <c r="U156" s="168"/>
      <c r="V156" s="168"/>
      <c r="W156" s="168"/>
      <c r="X156" s="168"/>
      <c r="Y156" s="168"/>
      <c r="Z156" s="168"/>
      <c r="AA156" s="168"/>
    </row>
    <row r="157" spans="1:27" s="154" customFormat="1" ht="18.75" customHeight="1">
      <c r="A157" s="270"/>
      <c r="D157" s="169"/>
      <c r="E157" s="169"/>
      <c r="F157" s="265"/>
      <c r="G157" s="252"/>
      <c r="H157" s="79"/>
      <c r="I157" s="217"/>
      <c r="J157" s="79"/>
      <c r="K157" s="253"/>
      <c r="L157" s="254"/>
      <c r="M157" s="253"/>
      <c r="N157" s="255"/>
      <c r="O157" s="256"/>
      <c r="P157" s="109"/>
      <c r="Q157" s="109"/>
      <c r="R157" s="109"/>
      <c r="S157" s="109"/>
      <c r="T157" s="109"/>
      <c r="U157" s="168"/>
      <c r="V157" s="168"/>
      <c r="W157" s="168"/>
      <c r="X157" s="168"/>
      <c r="Y157" s="168"/>
      <c r="Z157" s="168"/>
      <c r="AA157" s="168"/>
    </row>
    <row r="158" spans="1:27" s="154" customFormat="1" ht="18.75" customHeight="1">
      <c r="A158" s="168"/>
      <c r="D158" s="169"/>
      <c r="E158" s="169"/>
      <c r="F158" s="265"/>
      <c r="G158" s="252"/>
      <c r="H158" s="79"/>
      <c r="I158" s="217"/>
      <c r="J158" s="79"/>
      <c r="K158" s="253"/>
      <c r="L158" s="254"/>
      <c r="M158" s="253"/>
      <c r="N158" s="255"/>
      <c r="O158" s="256"/>
      <c r="P158" s="109"/>
      <c r="Q158" s="109"/>
      <c r="R158" s="109"/>
      <c r="S158" s="109"/>
      <c r="T158" s="109"/>
      <c r="U158" s="168"/>
      <c r="V158" s="168"/>
      <c r="W158" s="168"/>
      <c r="X158" s="168"/>
      <c r="Y158" s="168"/>
      <c r="Z158" s="168"/>
      <c r="AA158" s="168"/>
    </row>
    <row r="159" spans="1:27" s="154" customFormat="1" ht="18.75" customHeight="1">
      <c r="A159" s="259"/>
      <c r="D159" s="169"/>
      <c r="E159" s="169"/>
      <c r="F159" s="172"/>
      <c r="G159" s="252"/>
      <c r="H159" s="79"/>
      <c r="I159" s="217"/>
      <c r="J159" s="79"/>
      <c r="K159" s="253"/>
      <c r="L159" s="254"/>
      <c r="M159" s="253"/>
      <c r="N159" s="255"/>
      <c r="O159" s="256"/>
      <c r="P159" s="109"/>
      <c r="Q159" s="109"/>
      <c r="R159" s="109"/>
      <c r="S159" s="109"/>
      <c r="T159" s="109"/>
      <c r="U159" s="168"/>
      <c r="V159" s="168"/>
      <c r="W159" s="168"/>
      <c r="X159" s="168"/>
      <c r="Y159" s="168"/>
      <c r="Z159" s="168"/>
      <c r="AA159" s="168"/>
    </row>
    <row r="160" spans="1:27" s="154" customFormat="1" ht="18.75" customHeight="1">
      <c r="A160" s="270"/>
      <c r="B160" s="169"/>
      <c r="D160" s="169"/>
      <c r="E160" s="169"/>
      <c r="F160" s="265"/>
      <c r="G160" s="252"/>
      <c r="H160" s="79"/>
      <c r="I160" s="217"/>
      <c r="J160" s="79"/>
      <c r="K160" s="271"/>
      <c r="L160" s="254"/>
      <c r="M160" s="272"/>
      <c r="N160" s="255"/>
      <c r="O160" s="260"/>
      <c r="P160" s="109"/>
      <c r="Q160" s="109"/>
      <c r="R160" s="109"/>
      <c r="S160" s="109"/>
      <c r="T160" s="109"/>
      <c r="U160" s="168"/>
      <c r="V160" s="168"/>
      <c r="W160" s="168"/>
      <c r="X160" s="168"/>
      <c r="Y160" s="168"/>
      <c r="Z160" s="168"/>
      <c r="AA160" s="168"/>
    </row>
    <row r="161" spans="1:27" s="154" customFormat="1" ht="18.75" customHeight="1">
      <c r="A161" s="273"/>
      <c r="B161" s="169"/>
      <c r="D161" s="169"/>
      <c r="E161" s="169"/>
      <c r="F161" s="265"/>
      <c r="G161" s="169"/>
      <c r="H161" s="79"/>
      <c r="I161" s="217"/>
      <c r="J161" s="79"/>
      <c r="K161" s="250"/>
      <c r="L161" s="254"/>
      <c r="M161" s="250"/>
      <c r="N161" s="255"/>
      <c r="O161" s="256"/>
      <c r="P161" s="109"/>
      <c r="Q161" s="109"/>
      <c r="R161" s="109"/>
      <c r="S161" s="109"/>
      <c r="T161" s="109"/>
      <c r="U161" s="168"/>
      <c r="V161" s="168"/>
      <c r="W161" s="168"/>
      <c r="X161" s="168"/>
      <c r="Y161" s="168"/>
      <c r="Z161" s="168"/>
      <c r="AA161" s="168"/>
    </row>
    <row r="162" spans="1:27" s="154" customFormat="1" ht="21" customHeight="1">
      <c r="A162" s="274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275"/>
      <c r="M162" s="151"/>
      <c r="N162" s="276"/>
      <c r="O162" s="78"/>
      <c r="P162" s="109"/>
      <c r="Q162" s="109"/>
      <c r="R162" s="109"/>
      <c r="S162" s="109"/>
      <c r="T162" s="109"/>
      <c r="U162" s="168"/>
      <c r="V162" s="168"/>
      <c r="W162" s="168"/>
      <c r="X162" s="168"/>
      <c r="Y162" s="168"/>
      <c r="Z162" s="168"/>
      <c r="AA162" s="168"/>
    </row>
    <row r="163" spans="1:27" s="154" customFormat="1" ht="24.75" customHeight="1">
      <c r="A163" s="159"/>
      <c r="B163" s="145"/>
      <c r="C163" s="173"/>
      <c r="D163" s="79"/>
      <c r="E163" s="174"/>
      <c r="F163" s="79"/>
      <c r="G163" s="175"/>
      <c r="H163" s="145"/>
      <c r="I163" s="105"/>
      <c r="J163" s="79"/>
      <c r="K163" s="173"/>
      <c r="L163" s="277"/>
      <c r="M163" s="151"/>
      <c r="N163" s="182"/>
      <c r="O163" s="78"/>
      <c r="P163" s="109"/>
      <c r="Q163" s="109"/>
      <c r="R163" s="109"/>
      <c r="S163" s="109"/>
      <c r="T163" s="109"/>
      <c r="U163" s="168"/>
      <c r="V163" s="168"/>
      <c r="W163" s="168"/>
      <c r="X163" s="168"/>
      <c r="Y163" s="168"/>
      <c r="Z163" s="168"/>
      <c r="AA163" s="168"/>
    </row>
    <row r="164" spans="1:27" s="154" customFormat="1" ht="15.75" customHeight="1">
      <c r="A164" s="278"/>
      <c r="B164" s="179"/>
      <c r="C164" s="159"/>
      <c r="D164" s="151"/>
      <c r="E164" s="279"/>
      <c r="F164" s="105"/>
      <c r="G164" s="105"/>
      <c r="H164" s="244"/>
      <c r="I164" s="280"/>
      <c r="J164" s="151"/>
      <c r="K164" s="151"/>
      <c r="L164" s="281"/>
      <c r="M164" s="151"/>
      <c r="N164" s="182"/>
      <c r="O164" s="78"/>
      <c r="P164" s="109"/>
      <c r="Q164" s="109"/>
      <c r="R164" s="109"/>
      <c r="S164" s="109"/>
      <c r="T164" s="109"/>
      <c r="U164" s="168"/>
      <c r="V164" s="168"/>
      <c r="W164" s="168"/>
      <c r="X164" s="168"/>
      <c r="Y164" s="168"/>
      <c r="Z164" s="168"/>
      <c r="AA164" s="168"/>
    </row>
    <row r="165" spans="1:27" s="154" customFormat="1" ht="18.75" customHeight="1">
      <c r="A165" s="282"/>
      <c r="B165" s="283"/>
      <c r="C165" s="176"/>
      <c r="D165" s="78"/>
      <c r="E165" s="78"/>
      <c r="F165" s="177"/>
      <c r="G165" s="178"/>
      <c r="H165" s="105"/>
      <c r="I165" s="105"/>
      <c r="J165" s="78"/>
      <c r="K165" s="176"/>
      <c r="L165" s="277"/>
      <c r="M165" s="151"/>
      <c r="N165" s="284"/>
      <c r="O165" s="78"/>
      <c r="P165" s="109"/>
      <c r="Q165" s="109"/>
      <c r="R165" s="109"/>
      <c r="S165" s="109"/>
      <c r="T165" s="109"/>
      <c r="U165" s="168"/>
      <c r="V165" s="168"/>
      <c r="W165" s="168"/>
      <c r="X165" s="168"/>
      <c r="Y165" s="168"/>
      <c r="Z165" s="168"/>
      <c r="AA165" s="168"/>
    </row>
    <row r="166" spans="1:27" s="154" customFormat="1" ht="15.75" customHeight="1">
      <c r="A166" s="175"/>
      <c r="B166" s="179"/>
      <c r="C166" s="159"/>
      <c r="D166" s="151"/>
      <c r="E166" s="79"/>
      <c r="F166" s="105"/>
      <c r="G166" s="105"/>
      <c r="H166" s="179"/>
      <c r="I166" s="105"/>
      <c r="J166" s="79"/>
      <c r="K166" s="151"/>
      <c r="L166" s="281"/>
      <c r="M166" s="151"/>
      <c r="N166" s="182"/>
      <c r="O166" s="78"/>
      <c r="P166" s="109"/>
      <c r="Q166" s="109"/>
      <c r="R166" s="109"/>
      <c r="S166" s="109"/>
      <c r="T166" s="109"/>
      <c r="U166" s="168"/>
      <c r="V166" s="168"/>
      <c r="W166" s="168"/>
      <c r="X166" s="168"/>
      <c r="Y166" s="168"/>
      <c r="Z166" s="168"/>
      <c r="AA166" s="168"/>
    </row>
    <row r="167" spans="1:27" s="154" customFormat="1" ht="18.75" customHeight="1">
      <c r="A167" s="151"/>
      <c r="B167" s="151"/>
      <c r="C167" s="151"/>
      <c r="D167" s="151"/>
      <c r="E167" s="151"/>
      <c r="F167" s="151"/>
      <c r="G167" s="102"/>
      <c r="H167" s="102"/>
      <c r="I167" s="151"/>
      <c r="J167" s="151"/>
      <c r="K167" s="102"/>
      <c r="L167" s="281"/>
      <c r="M167" s="184"/>
      <c r="N167" s="182"/>
      <c r="O167" s="78"/>
      <c r="P167" s="109"/>
      <c r="Q167" s="109"/>
      <c r="R167" s="109"/>
      <c r="S167" s="109"/>
      <c r="T167" s="109"/>
      <c r="U167" s="168"/>
      <c r="V167" s="168"/>
      <c r="W167" s="168"/>
      <c r="X167" s="168"/>
      <c r="Y167" s="168"/>
      <c r="Z167" s="168"/>
      <c r="AA167" s="168"/>
    </row>
    <row r="168" spans="1:27" s="154" customFormat="1" ht="18.75" customHeight="1">
      <c r="A168" s="151"/>
      <c r="B168" s="151"/>
      <c r="C168" s="151"/>
      <c r="D168" s="151"/>
      <c r="E168" s="151"/>
      <c r="F168" s="151"/>
      <c r="G168" s="145"/>
      <c r="H168" s="159"/>
      <c r="I168" s="102"/>
      <c r="J168" s="151"/>
      <c r="K168" s="180"/>
      <c r="L168" s="285"/>
      <c r="M168" s="184"/>
      <c r="N168" s="182"/>
      <c r="O168" s="78"/>
      <c r="P168" s="109"/>
      <c r="Q168" s="109"/>
      <c r="R168" s="109"/>
      <c r="S168" s="109"/>
      <c r="T168" s="109"/>
      <c r="U168" s="168"/>
      <c r="V168" s="168"/>
      <c r="W168" s="168"/>
      <c r="X168" s="168"/>
      <c r="Y168" s="168"/>
      <c r="Z168" s="168"/>
      <c r="AA168" s="168"/>
    </row>
    <row r="169" spans="1:27" s="154" customFormat="1" ht="18.75" customHeight="1">
      <c r="A169" s="151"/>
      <c r="B169" s="151"/>
      <c r="C169" s="151"/>
      <c r="D169" s="151"/>
      <c r="E169" s="151"/>
      <c r="F169" s="151"/>
      <c r="G169" s="145"/>
      <c r="H169" s="159"/>
      <c r="I169" s="102"/>
      <c r="J169" s="151"/>
      <c r="K169" s="180"/>
      <c r="L169" s="184"/>
      <c r="M169" s="184"/>
      <c r="N169" s="182"/>
      <c r="O169" s="78"/>
      <c r="P169" s="109"/>
      <c r="Q169" s="109"/>
      <c r="R169" s="109"/>
      <c r="S169" s="109"/>
      <c r="T169" s="109"/>
      <c r="U169" s="168"/>
      <c r="V169" s="168"/>
      <c r="W169" s="168"/>
      <c r="X169" s="168"/>
      <c r="Y169" s="168"/>
      <c r="Z169" s="168"/>
      <c r="AA169" s="168"/>
    </row>
    <row r="170" spans="1:27" s="154" customFormat="1" ht="18.75" customHeight="1">
      <c r="A170" s="159"/>
      <c r="B170" s="151"/>
      <c r="C170" s="151"/>
      <c r="D170" s="151"/>
      <c r="E170" s="151"/>
      <c r="F170" s="151"/>
      <c r="G170" s="286"/>
      <c r="H170" s="286"/>
      <c r="I170" s="159"/>
      <c r="J170" s="151"/>
      <c r="K170" s="151"/>
      <c r="L170" s="281"/>
      <c r="M170" s="151"/>
      <c r="N170" s="182"/>
      <c r="O170" s="78"/>
      <c r="P170" s="109"/>
      <c r="Q170" s="109"/>
      <c r="R170" s="109"/>
      <c r="S170" s="109"/>
      <c r="T170" s="109"/>
      <c r="U170" s="168"/>
      <c r="V170" s="168"/>
      <c r="W170" s="168"/>
      <c r="X170" s="168"/>
      <c r="Y170" s="168"/>
      <c r="Z170" s="168"/>
      <c r="AA170" s="168"/>
    </row>
    <row r="171" spans="1:27" s="154" customFormat="1" ht="18.75" customHeight="1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281"/>
      <c r="M171" s="151"/>
      <c r="N171" s="182"/>
      <c r="O171" s="78"/>
      <c r="P171" s="109"/>
      <c r="Q171" s="182"/>
      <c r="R171" s="109"/>
      <c r="S171" s="109"/>
      <c r="T171" s="109"/>
      <c r="U171" s="168"/>
      <c r="V171" s="168"/>
      <c r="W171" s="168"/>
      <c r="X171" s="168"/>
      <c r="Y171" s="168"/>
      <c r="Z171" s="168"/>
      <c r="AA171" s="168"/>
    </row>
    <row r="172" spans="1:27" s="154" customFormat="1" ht="18.75" customHeight="1">
      <c r="A172" s="159"/>
      <c r="B172" s="151"/>
      <c r="C172" s="151"/>
      <c r="D172" s="287"/>
      <c r="E172" s="217"/>
      <c r="F172" s="159"/>
      <c r="G172" s="151"/>
      <c r="H172" s="151"/>
      <c r="I172" s="288"/>
      <c r="J172" s="217"/>
      <c r="K172" s="289"/>
      <c r="L172" s="281"/>
      <c r="M172" s="151"/>
      <c r="N172" s="182"/>
      <c r="O172" s="78"/>
      <c r="P172" s="109"/>
      <c r="Q172" s="109"/>
      <c r="R172" s="109"/>
      <c r="S172" s="109"/>
      <c r="T172" s="109"/>
      <c r="U172" s="168"/>
      <c r="V172" s="168"/>
      <c r="W172" s="168"/>
      <c r="X172" s="168"/>
      <c r="Y172" s="168"/>
      <c r="Z172" s="168"/>
      <c r="AA172" s="168"/>
    </row>
    <row r="173" spans="1:27" s="154" customFormat="1" ht="18.75" customHeight="1">
      <c r="A173" s="159"/>
      <c r="B173" s="151"/>
      <c r="C173" s="151"/>
      <c r="D173" s="243"/>
      <c r="E173" s="151"/>
      <c r="F173" s="151"/>
      <c r="G173" s="180"/>
      <c r="H173" s="180"/>
      <c r="I173" s="151"/>
      <c r="J173" s="151"/>
      <c r="K173" s="180"/>
      <c r="L173" s="290"/>
      <c r="M173" s="151"/>
      <c r="N173" s="182"/>
      <c r="O173" s="78"/>
      <c r="P173" s="109"/>
      <c r="Q173" s="109"/>
      <c r="R173" s="109"/>
      <c r="S173" s="109"/>
      <c r="T173" s="109"/>
      <c r="U173" s="168"/>
      <c r="V173" s="168"/>
      <c r="W173" s="168"/>
      <c r="X173" s="168"/>
      <c r="Y173" s="168"/>
      <c r="Z173" s="168"/>
      <c r="AA173" s="168"/>
    </row>
    <row r="174" spans="1:27" s="154" customFormat="1" ht="18.75" customHeight="1">
      <c r="A174" s="215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291"/>
      <c r="M174" s="151"/>
      <c r="N174" s="292"/>
      <c r="O174" s="78"/>
      <c r="P174" s="109"/>
      <c r="Q174" s="109"/>
      <c r="R174" s="109"/>
      <c r="S174" s="109"/>
      <c r="T174" s="109"/>
      <c r="U174" s="168"/>
      <c r="V174" s="168"/>
      <c r="W174" s="168"/>
      <c r="X174" s="168"/>
      <c r="Y174" s="168"/>
      <c r="Z174" s="168"/>
      <c r="AA174" s="168"/>
    </row>
    <row r="175" spans="1:27" s="154" customFormat="1" ht="12" customHeight="1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275"/>
      <c r="M175" s="151"/>
      <c r="N175" s="151"/>
      <c r="O175" s="102"/>
      <c r="P175" s="109"/>
      <c r="Q175" s="109"/>
      <c r="R175" s="109"/>
      <c r="S175" s="109"/>
      <c r="T175" s="109"/>
      <c r="U175" s="168"/>
      <c r="V175" s="168"/>
      <c r="W175" s="168"/>
      <c r="X175" s="168"/>
      <c r="Y175" s="168"/>
      <c r="Z175" s="168"/>
      <c r="AA175" s="168"/>
    </row>
    <row r="176" spans="1:27" s="154" customFormat="1" ht="18.75" customHeight="1">
      <c r="A176" s="274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02"/>
      <c r="P176" s="109"/>
      <c r="Q176" s="109"/>
      <c r="R176" s="109"/>
      <c r="S176" s="109"/>
      <c r="T176" s="109"/>
      <c r="U176" s="168"/>
      <c r="V176" s="168"/>
      <c r="W176" s="168"/>
      <c r="X176" s="168"/>
      <c r="Y176" s="168"/>
      <c r="Z176" s="168"/>
      <c r="AA176" s="168"/>
    </row>
    <row r="177" spans="1:27" s="154" customFormat="1" ht="18.75" customHeight="1">
      <c r="A177" s="159"/>
      <c r="B177" s="151"/>
      <c r="C177" s="151"/>
      <c r="D177" s="182"/>
      <c r="E177" s="78"/>
      <c r="F177" s="183"/>
      <c r="G177" s="159"/>
      <c r="H177" s="159"/>
      <c r="I177" s="102"/>
      <c r="J177" s="102"/>
      <c r="K177" s="285"/>
      <c r="L177" s="159"/>
      <c r="M177" s="102"/>
      <c r="N177" s="185"/>
      <c r="O177" s="79"/>
      <c r="P177" s="109"/>
      <c r="Q177" s="109"/>
      <c r="R177" s="109"/>
      <c r="S177" s="109"/>
      <c r="T177" s="109"/>
      <c r="U177" s="168"/>
      <c r="V177" s="168"/>
      <c r="W177" s="168"/>
      <c r="X177" s="168"/>
      <c r="Y177" s="168"/>
      <c r="Z177" s="168"/>
      <c r="AA177" s="168"/>
    </row>
    <row r="178" spans="1:27" s="154" customFormat="1" ht="9" customHeight="1">
      <c r="A178" s="159"/>
      <c r="B178" s="151"/>
      <c r="C178" s="151"/>
      <c r="D178" s="182"/>
      <c r="E178" s="78"/>
      <c r="F178" s="183"/>
      <c r="G178" s="159"/>
      <c r="H178" s="159"/>
      <c r="I178" s="102"/>
      <c r="J178" s="102"/>
      <c r="K178" s="184"/>
      <c r="L178" s="159"/>
      <c r="M178" s="102"/>
      <c r="N178" s="185"/>
      <c r="O178" s="79"/>
      <c r="P178" s="109"/>
      <c r="Q178" s="109"/>
      <c r="R178" s="109"/>
      <c r="S178" s="109"/>
      <c r="T178" s="109"/>
      <c r="U178" s="168"/>
      <c r="V178" s="168"/>
      <c r="W178" s="168"/>
      <c r="X178" s="168"/>
      <c r="Y178" s="168"/>
      <c r="Z178" s="168"/>
      <c r="AA178" s="168"/>
    </row>
    <row r="179" spans="1:27" s="154" customFormat="1" ht="18.75" customHeight="1">
      <c r="A179" s="274"/>
      <c r="B179" s="151"/>
      <c r="C179" s="151"/>
      <c r="D179" s="182"/>
      <c r="E179" s="78"/>
      <c r="F179" s="183"/>
      <c r="G179" s="159"/>
      <c r="H179" s="232"/>
      <c r="I179" s="102"/>
      <c r="J179" s="102"/>
      <c r="K179" s="184"/>
      <c r="L179" s="159"/>
      <c r="M179" s="102"/>
      <c r="N179" s="185"/>
      <c r="O179" s="79"/>
      <c r="P179" s="109"/>
      <c r="Q179" s="109"/>
      <c r="R179" s="109"/>
      <c r="S179" s="109"/>
      <c r="T179" s="109"/>
      <c r="U179" s="168"/>
      <c r="V179" s="168"/>
      <c r="W179" s="168"/>
      <c r="X179" s="168"/>
      <c r="Y179" s="168"/>
      <c r="Z179" s="168"/>
      <c r="AA179" s="168"/>
    </row>
    <row r="180" spans="1:27" s="238" customFormat="1" ht="18.75" customHeight="1">
      <c r="A180" s="159"/>
      <c r="B180" s="151"/>
      <c r="C180" s="151"/>
      <c r="D180" s="293"/>
      <c r="E180" s="79"/>
      <c r="F180" s="151"/>
      <c r="G180" s="151"/>
      <c r="H180" s="151"/>
      <c r="I180" s="151"/>
      <c r="J180" s="151"/>
      <c r="K180" s="285"/>
      <c r="L180" s="151"/>
      <c r="M180" s="145"/>
      <c r="N180" s="151"/>
      <c r="O180" s="151"/>
      <c r="P180" s="294"/>
      <c r="Q180" s="294"/>
      <c r="R180" s="294"/>
      <c r="S180" s="294"/>
      <c r="T180" s="294"/>
      <c r="U180" s="169"/>
      <c r="V180" s="169"/>
      <c r="W180" s="169"/>
      <c r="X180" s="169"/>
      <c r="Y180" s="169"/>
      <c r="Z180" s="169"/>
      <c r="AA180" s="169"/>
    </row>
    <row r="181" spans="1:27" s="238" customFormat="1" ht="10.5" customHeight="1">
      <c r="A181" s="159"/>
      <c r="B181" s="151"/>
      <c r="C181" s="151"/>
      <c r="D181" s="186"/>
      <c r="E181" s="79"/>
      <c r="F181" s="151"/>
      <c r="G181" s="151"/>
      <c r="H181" s="151"/>
      <c r="I181" s="151"/>
      <c r="J181" s="151"/>
      <c r="K181" s="151"/>
      <c r="L181" s="295"/>
      <c r="M181" s="151"/>
      <c r="N181" s="151"/>
      <c r="O181" s="151"/>
      <c r="P181" s="294"/>
      <c r="Q181" s="294"/>
      <c r="R181" s="294"/>
      <c r="S181" s="294"/>
      <c r="T181" s="294"/>
      <c r="U181" s="169"/>
      <c r="V181" s="169"/>
      <c r="W181" s="169"/>
      <c r="X181" s="169"/>
      <c r="Y181" s="169"/>
      <c r="Z181" s="169"/>
      <c r="AA181" s="169"/>
    </row>
    <row r="182" spans="1:27" s="154" customFormat="1" ht="18.75" customHeight="1">
      <c r="A182" s="137"/>
      <c r="B182" s="102"/>
      <c r="C182" s="102"/>
      <c r="D182" s="102"/>
      <c r="E182" s="136"/>
      <c r="F182" s="140"/>
      <c r="G182" s="296"/>
      <c r="H182" s="296"/>
      <c r="I182" s="296"/>
      <c r="J182" s="296"/>
      <c r="K182" s="296"/>
      <c r="L182" s="296"/>
      <c r="M182" s="296"/>
      <c r="N182" s="102"/>
      <c r="O182" s="102"/>
      <c r="P182" s="109"/>
      <c r="Q182" s="109"/>
      <c r="R182" s="109"/>
      <c r="S182" s="109"/>
      <c r="T182" s="109"/>
      <c r="U182" s="168"/>
      <c r="V182" s="168"/>
      <c r="W182" s="168"/>
      <c r="X182" s="168"/>
      <c r="Y182" s="168"/>
      <c r="Z182" s="168"/>
      <c r="AA182" s="168"/>
    </row>
    <row r="183" spans="1:27" s="154" customFormat="1" ht="14.25" customHeight="1">
      <c r="A183" s="102"/>
      <c r="B183" s="102"/>
      <c r="C183" s="102"/>
      <c r="D183" s="102"/>
      <c r="E183" s="138"/>
      <c r="F183" s="139"/>
      <c r="G183" s="141"/>
      <c r="H183" s="141"/>
      <c r="I183" s="296"/>
      <c r="J183" s="141"/>
      <c r="K183" s="141"/>
      <c r="L183" s="296"/>
      <c r="M183" s="141"/>
      <c r="N183" s="102"/>
      <c r="O183" s="102"/>
      <c r="P183" s="109"/>
      <c r="Q183" s="109"/>
      <c r="R183" s="109"/>
      <c r="S183" s="109"/>
      <c r="T183" s="109"/>
      <c r="U183" s="168"/>
      <c r="V183" s="168"/>
      <c r="W183" s="168"/>
      <c r="X183" s="168"/>
      <c r="Y183" s="168"/>
      <c r="Z183" s="168"/>
      <c r="AA183" s="168"/>
    </row>
    <row r="184" spans="1:27" s="154" customFormat="1" ht="18.75" customHeight="1">
      <c r="A184" s="136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9"/>
      <c r="Q184" s="109"/>
      <c r="R184" s="109"/>
      <c r="S184" s="109"/>
      <c r="T184" s="109"/>
      <c r="U184" s="168"/>
      <c r="V184" s="168"/>
      <c r="W184" s="168"/>
      <c r="X184" s="168"/>
      <c r="Y184" s="168"/>
      <c r="Z184" s="168"/>
      <c r="AA184" s="168"/>
    </row>
    <row r="185" spans="1:27" s="154" customFormat="1" ht="18.75" customHeight="1">
      <c r="A185" s="136"/>
      <c r="B185" s="102"/>
      <c r="C185" s="191"/>
      <c r="D185" s="102"/>
      <c r="E185" s="102"/>
      <c r="F185" s="102"/>
      <c r="G185" s="102"/>
      <c r="H185" s="102"/>
      <c r="I185" s="102"/>
      <c r="J185" s="102"/>
      <c r="K185" s="102"/>
      <c r="L185" s="140"/>
      <c r="M185" s="191"/>
      <c r="N185" s="102"/>
      <c r="O185" s="102"/>
      <c r="P185" s="109"/>
      <c r="Q185" s="109"/>
      <c r="R185" s="109"/>
      <c r="S185" s="109"/>
      <c r="T185" s="109"/>
      <c r="U185" s="168"/>
      <c r="V185" s="168"/>
      <c r="W185" s="168"/>
      <c r="X185" s="168"/>
      <c r="Y185" s="168"/>
      <c r="Z185" s="168"/>
      <c r="AA185" s="168"/>
    </row>
    <row r="186" spans="1:27" s="154" customFormat="1" ht="18.75" customHeight="1">
      <c r="A186" s="102"/>
      <c r="B186" s="19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9"/>
      <c r="Q186" s="109"/>
      <c r="R186" s="109"/>
      <c r="S186" s="109"/>
      <c r="T186" s="109"/>
      <c r="U186" s="168"/>
      <c r="V186" s="168"/>
      <c r="W186" s="168"/>
      <c r="X186" s="168"/>
      <c r="Y186" s="168"/>
      <c r="Z186" s="168"/>
      <c r="AA186" s="168"/>
    </row>
    <row r="187" spans="1:27" s="154" customFormat="1" ht="25.5" customHeight="1">
      <c r="A187" s="297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09"/>
      <c r="Q187" s="109"/>
      <c r="R187" s="109"/>
      <c r="S187" s="109"/>
      <c r="T187" s="109"/>
      <c r="U187" s="168"/>
      <c r="V187" s="168"/>
      <c r="W187" s="168"/>
      <c r="X187" s="168"/>
      <c r="Y187" s="168"/>
      <c r="Z187" s="168"/>
      <c r="AA187" s="168"/>
    </row>
    <row r="188" spans="1:20" s="154" customFormat="1" ht="12">
      <c r="A188" s="298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</row>
    <row r="189" spans="1:20" s="154" customFormat="1" ht="12">
      <c r="A189" s="298"/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</row>
    <row r="190" spans="1:20" s="154" customFormat="1" ht="12">
      <c r="A190" s="298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</row>
    <row r="191" spans="1:20" s="154" customFormat="1" ht="12">
      <c r="A191" s="298"/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</row>
    <row r="192" spans="1:20" s="154" customFormat="1" ht="12">
      <c r="A192" s="298"/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</row>
    <row r="193" spans="1:20" s="154" customFormat="1" ht="12">
      <c r="A193" s="298"/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</row>
    <row r="194" spans="1:15" s="154" customFormat="1" ht="12">
      <c r="A194" s="298"/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</row>
    <row r="195" spans="1:15" s="154" customFormat="1" ht="12">
      <c r="A195" s="298"/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</row>
    <row r="196" spans="1:15" s="154" customFormat="1" ht="12">
      <c r="A196" s="298"/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</row>
    <row r="197" spans="1:15" s="154" customFormat="1" ht="12">
      <c r="A197" s="298"/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</row>
    <row r="198" spans="1:15" s="154" customFormat="1" ht="12">
      <c r="A198" s="298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</row>
    <row r="199" spans="1:15" s="154" customFormat="1" ht="12">
      <c r="A199" s="298"/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</row>
    <row r="200" s="154" customFormat="1" ht="12"/>
    <row r="201" s="154" customFormat="1" ht="12"/>
    <row r="202" s="154" customFormat="1" ht="12"/>
    <row r="203" s="154" customFormat="1" ht="12"/>
    <row r="204" s="154" customFormat="1" ht="12"/>
    <row r="205" s="154" customFormat="1" ht="12"/>
    <row r="206" s="154" customFormat="1" ht="12"/>
    <row r="207" s="154" customFormat="1" ht="12"/>
    <row r="208" s="154" customFormat="1" ht="12"/>
    <row r="209" s="154" customFormat="1" ht="12"/>
    <row r="210" s="154" customFormat="1" ht="12"/>
    <row r="211" s="154" customFormat="1" ht="12"/>
    <row r="212" s="154" customFormat="1" ht="12"/>
    <row r="213" s="154" customFormat="1" ht="12"/>
    <row r="214" s="154" customFormat="1" ht="12"/>
    <row r="215" s="154" customFormat="1" ht="12"/>
    <row r="216" s="154" customFormat="1" ht="12"/>
    <row r="217" s="154" customFormat="1" ht="12"/>
    <row r="218" s="154" customFormat="1" ht="12"/>
    <row r="219" s="154" customFormat="1" ht="12"/>
    <row r="220" s="154" customFormat="1" ht="12"/>
    <row r="221" s="154" customFormat="1" ht="12"/>
    <row r="222" s="154" customFormat="1" ht="12"/>
    <row r="223" s="154" customFormat="1" ht="12"/>
    <row r="224" s="154" customFormat="1" ht="12"/>
    <row r="225" s="154" customFormat="1" ht="12"/>
    <row r="226" s="154" customFormat="1" ht="12"/>
    <row r="227" s="154" customFormat="1" ht="12"/>
    <row r="228" s="154" customFormat="1" ht="12"/>
    <row r="229" s="154" customFormat="1" ht="12"/>
    <row r="230" s="154" customFormat="1" ht="12"/>
    <row r="231" s="154" customFormat="1" ht="12"/>
    <row r="232" s="154" customFormat="1" ht="12"/>
    <row r="233" s="154" customFormat="1" ht="12"/>
    <row r="234" s="154" customFormat="1" ht="12"/>
    <row r="235" s="154" customFormat="1" ht="12"/>
    <row r="236" s="154" customFormat="1" ht="12"/>
    <row r="237" s="154" customFormat="1" ht="12"/>
    <row r="238" s="154" customFormat="1" ht="12"/>
    <row r="239" s="154" customFormat="1" ht="12"/>
    <row r="240" s="154" customFormat="1" ht="12"/>
    <row r="241" s="154" customFormat="1" ht="12"/>
    <row r="242" s="154" customFormat="1" ht="12"/>
    <row r="243" s="154" customFormat="1" ht="12"/>
    <row r="244" s="154" customFormat="1" ht="12"/>
    <row r="245" s="154" customFormat="1" ht="12"/>
    <row r="246" s="154" customFormat="1" ht="12"/>
    <row r="247" s="154" customFormat="1" ht="12"/>
    <row r="248" s="154" customFormat="1" ht="12"/>
    <row r="249" s="154" customFormat="1" ht="12"/>
    <row r="250" s="154" customFormat="1" ht="12"/>
    <row r="251" s="154" customFormat="1" ht="12"/>
    <row r="252" s="154" customFormat="1" ht="12"/>
    <row r="253" s="154" customFormat="1" ht="12"/>
    <row r="254" s="154" customFormat="1" ht="12"/>
    <row r="255" s="154" customFormat="1" ht="12"/>
    <row r="256" s="154" customFormat="1" ht="12"/>
    <row r="257" s="154" customFormat="1" ht="12"/>
    <row r="258" s="154" customFormat="1" ht="12"/>
    <row r="259" s="154" customFormat="1" ht="12"/>
    <row r="260" s="154" customFormat="1" ht="12"/>
    <row r="261" s="154" customFormat="1" ht="12"/>
    <row r="262" s="154" customFormat="1" ht="12"/>
    <row r="263" s="154" customFormat="1" ht="12"/>
    <row r="264" s="154" customFormat="1" ht="12"/>
    <row r="265" s="154" customFormat="1" ht="12"/>
    <row r="266" s="154" customFormat="1" ht="12"/>
    <row r="267" s="154" customFormat="1" ht="12"/>
    <row r="268" s="154" customFormat="1" ht="12"/>
    <row r="269" s="154" customFormat="1" ht="12"/>
    <row r="270" s="154" customFormat="1" ht="12"/>
    <row r="271" s="154" customFormat="1" ht="12"/>
    <row r="272" s="154" customFormat="1" ht="12"/>
    <row r="273" s="154" customFormat="1" ht="12"/>
    <row r="274" s="154" customFormat="1" ht="12"/>
    <row r="275" s="154" customFormat="1" ht="12"/>
    <row r="276" s="154" customFormat="1" ht="12"/>
    <row r="277" s="154" customFormat="1" ht="12"/>
    <row r="278" s="154" customFormat="1" ht="12"/>
    <row r="279" s="154" customFormat="1" ht="12"/>
    <row r="280" s="154" customFormat="1" ht="12"/>
    <row r="281" s="154" customFormat="1" ht="12"/>
    <row r="282" s="154" customFormat="1" ht="12"/>
    <row r="283" s="154" customFormat="1" ht="12"/>
    <row r="284" s="154" customFormat="1" ht="12"/>
    <row r="285" s="154" customFormat="1" ht="12"/>
    <row r="286" s="154" customFormat="1" ht="12"/>
    <row r="287" s="154" customFormat="1" ht="12"/>
    <row r="288" s="154" customFormat="1" ht="12"/>
    <row r="289" s="154" customFormat="1" ht="12"/>
    <row r="290" s="154" customFormat="1" ht="12"/>
    <row r="291" s="154" customFormat="1" ht="12"/>
    <row r="292" s="154" customFormat="1" ht="12"/>
    <row r="293" s="154" customFormat="1" ht="12"/>
    <row r="294" s="154" customFormat="1" ht="12"/>
    <row r="295" s="154" customFormat="1" ht="12"/>
    <row r="296" s="154" customFormat="1" ht="12"/>
    <row r="297" s="154" customFormat="1" ht="12"/>
    <row r="298" s="154" customFormat="1" ht="12"/>
    <row r="299" s="154" customFormat="1" ht="12"/>
    <row r="300" s="154" customFormat="1" ht="12"/>
    <row r="301" s="154" customFormat="1" ht="12"/>
    <row r="302" s="154" customFormat="1" ht="12"/>
    <row r="303" s="154" customFormat="1" ht="12"/>
    <row r="304" s="154" customFormat="1" ht="12"/>
    <row r="305" s="154" customFormat="1" ht="12"/>
    <row r="306" s="154" customFormat="1" ht="12"/>
    <row r="307" s="154" customFormat="1" ht="12"/>
    <row r="308" s="154" customFormat="1" ht="12"/>
    <row r="309" s="154" customFormat="1" ht="12"/>
    <row r="310" s="154" customFormat="1" ht="12"/>
    <row r="311" s="154" customFormat="1" ht="12"/>
    <row r="312" s="154" customFormat="1" ht="12"/>
    <row r="313" s="154" customFormat="1" ht="12"/>
    <row r="314" s="154" customFormat="1" ht="12"/>
    <row r="315" s="154" customFormat="1" ht="12"/>
    <row r="316" s="154" customFormat="1" ht="12"/>
    <row r="317" s="154" customFormat="1" ht="12"/>
    <row r="318" s="154" customFormat="1" ht="12"/>
    <row r="319" s="154" customFormat="1" ht="12"/>
    <row r="320" s="154" customFormat="1" ht="12"/>
    <row r="321" s="154" customFormat="1" ht="12"/>
    <row r="322" s="154" customFormat="1" ht="12"/>
    <row r="323" s="154" customFormat="1" ht="12"/>
    <row r="324" s="154" customFormat="1" ht="12"/>
    <row r="325" s="154" customFormat="1" ht="12"/>
    <row r="326" s="154" customFormat="1" ht="12"/>
    <row r="327" s="154" customFormat="1" ht="12"/>
    <row r="328" s="154" customFormat="1" ht="12"/>
    <row r="329" s="154" customFormat="1" ht="12"/>
    <row r="330" s="154" customFormat="1" ht="12"/>
    <row r="331" s="154" customFormat="1" ht="12"/>
    <row r="332" s="154" customFormat="1" ht="12"/>
    <row r="333" s="154" customFormat="1" ht="12"/>
    <row r="334" s="154" customFormat="1" ht="12"/>
    <row r="335" s="154" customFormat="1" ht="12"/>
    <row r="336" s="154" customFormat="1" ht="12"/>
    <row r="337" s="154" customFormat="1" ht="12"/>
    <row r="338" s="154" customFormat="1" ht="12"/>
    <row r="339" s="154" customFormat="1" ht="12"/>
    <row r="340" s="154" customFormat="1" ht="12"/>
    <row r="341" s="154" customFormat="1" ht="12"/>
    <row r="342" s="154" customFormat="1" ht="12"/>
    <row r="343" s="154" customFormat="1" ht="12"/>
    <row r="344" s="154" customFormat="1" ht="12"/>
    <row r="345" s="154" customFormat="1" ht="12"/>
    <row r="346" s="154" customFormat="1" ht="12"/>
    <row r="347" s="154" customFormat="1" ht="12"/>
    <row r="348" s="154" customFormat="1" ht="12"/>
    <row r="349" s="154" customFormat="1" ht="12"/>
    <row r="350" s="154" customFormat="1" ht="12"/>
    <row r="351" s="154" customFormat="1" ht="12"/>
    <row r="352" s="154" customFormat="1" ht="12"/>
    <row r="353" s="154" customFormat="1" ht="12"/>
    <row r="354" s="154" customFormat="1" ht="12"/>
    <row r="355" s="154" customFormat="1" ht="12"/>
    <row r="356" s="154" customFormat="1" ht="12"/>
    <row r="357" s="154" customFormat="1" ht="12"/>
    <row r="358" s="154" customFormat="1" ht="12"/>
    <row r="359" s="154" customFormat="1" ht="12"/>
    <row r="360" s="154" customFormat="1" ht="12"/>
    <row r="361" s="154" customFormat="1" ht="12"/>
    <row r="362" s="154" customFormat="1" ht="12"/>
    <row r="363" s="154" customFormat="1" ht="12"/>
    <row r="364" s="154" customFormat="1" ht="12"/>
    <row r="365" s="154" customFormat="1" ht="12"/>
    <row r="366" s="154" customFormat="1" ht="12"/>
    <row r="367" s="154" customFormat="1" ht="12"/>
    <row r="368" s="154" customFormat="1" ht="12"/>
    <row r="369" s="154" customFormat="1" ht="12"/>
    <row r="370" s="154" customFormat="1" ht="12"/>
    <row r="371" s="154" customFormat="1" ht="12"/>
    <row r="372" s="154" customFormat="1" ht="12"/>
    <row r="373" s="154" customFormat="1" ht="12"/>
    <row r="374" s="154" customFormat="1" ht="12"/>
    <row r="375" s="154" customFormat="1" ht="12"/>
    <row r="376" s="154" customFormat="1" ht="12"/>
    <row r="377" s="154" customFormat="1" ht="12"/>
    <row r="378" s="154" customFormat="1" ht="12"/>
    <row r="379" s="154" customFormat="1" ht="12"/>
    <row r="380" s="154" customFormat="1" ht="12"/>
    <row r="381" s="154" customFormat="1" ht="12"/>
    <row r="382" s="154" customFormat="1" ht="12"/>
    <row r="383" s="154" customFormat="1" ht="12"/>
    <row r="384" s="154" customFormat="1" ht="12"/>
    <row r="385" s="154" customFormat="1" ht="12"/>
    <row r="386" s="154" customFormat="1" ht="12"/>
    <row r="387" s="154" customFormat="1" ht="12"/>
    <row r="388" s="154" customFormat="1" ht="12"/>
    <row r="389" s="154" customFormat="1" ht="12"/>
    <row r="390" s="154" customFormat="1" ht="12"/>
    <row r="391" s="154" customFormat="1" ht="12"/>
    <row r="392" s="154" customFormat="1" ht="12"/>
    <row r="393" s="154" customFormat="1" ht="12"/>
    <row r="394" s="154" customFormat="1" ht="12"/>
    <row r="395" s="154" customFormat="1" ht="12"/>
    <row r="396" s="154" customFormat="1" ht="12"/>
    <row r="397" s="154" customFormat="1" ht="12"/>
    <row r="398" s="154" customFormat="1" ht="12"/>
    <row r="399" s="154" customFormat="1" ht="12"/>
    <row r="400" s="154" customFormat="1" ht="12"/>
    <row r="401" s="154" customFormat="1" ht="12"/>
    <row r="402" s="154" customFormat="1" ht="12"/>
    <row r="403" s="154" customFormat="1" ht="12"/>
    <row r="404" s="154" customFormat="1" ht="12"/>
    <row r="405" s="154" customFormat="1" ht="12"/>
    <row r="406" s="154" customFormat="1" ht="12"/>
    <row r="407" s="154" customFormat="1" ht="12"/>
    <row r="408" s="154" customFormat="1" ht="12"/>
    <row r="409" s="154" customFormat="1" ht="12"/>
    <row r="410" s="154" customFormat="1" ht="12"/>
    <row r="411" s="154" customFormat="1" ht="12"/>
    <row r="412" s="154" customFormat="1" ht="12"/>
    <row r="413" s="154" customFormat="1" ht="12"/>
    <row r="414" s="154" customFormat="1" ht="12"/>
    <row r="415" s="154" customFormat="1" ht="12"/>
    <row r="416" s="154" customFormat="1" ht="12"/>
    <row r="417" s="154" customFormat="1" ht="12"/>
    <row r="418" s="154" customFormat="1" ht="12"/>
    <row r="419" s="154" customFormat="1" ht="12"/>
    <row r="420" s="154" customFormat="1" ht="12"/>
    <row r="421" s="154" customFormat="1" ht="12"/>
    <row r="422" s="154" customFormat="1" ht="12"/>
    <row r="423" s="154" customFormat="1" ht="12"/>
    <row r="424" s="154" customFormat="1" ht="12"/>
    <row r="425" s="154" customFormat="1" ht="12"/>
    <row r="426" s="154" customFormat="1" ht="12"/>
    <row r="427" s="154" customFormat="1" ht="12"/>
    <row r="428" s="154" customFormat="1" ht="12"/>
    <row r="429" s="154" customFormat="1" ht="12"/>
    <row r="430" s="154" customFormat="1" ht="12"/>
    <row r="431" s="154" customFormat="1" ht="12"/>
    <row r="432" s="154" customFormat="1" ht="12"/>
    <row r="433" s="154" customFormat="1" ht="12"/>
    <row r="434" s="154" customFormat="1" ht="12"/>
    <row r="435" s="154" customFormat="1" ht="12"/>
    <row r="436" s="154" customFormat="1" ht="12"/>
    <row r="437" s="154" customFormat="1" ht="12"/>
    <row r="438" s="154" customFormat="1" ht="12"/>
    <row r="439" s="154" customFormat="1" ht="12"/>
    <row r="440" s="154" customFormat="1" ht="12"/>
    <row r="441" s="154" customFormat="1" ht="12"/>
    <row r="442" s="154" customFormat="1" ht="12"/>
    <row r="443" s="154" customFormat="1" ht="12"/>
    <row r="444" s="154" customFormat="1" ht="12"/>
    <row r="445" s="154" customFormat="1" ht="12"/>
    <row r="446" s="154" customFormat="1" ht="12"/>
    <row r="447" s="154" customFormat="1" ht="12"/>
    <row r="448" s="154" customFormat="1" ht="12"/>
    <row r="449" s="154" customFormat="1" ht="12"/>
    <row r="450" s="154" customFormat="1" ht="12"/>
    <row r="451" s="154" customFormat="1" ht="12"/>
    <row r="452" s="154" customFormat="1" ht="12"/>
    <row r="453" s="154" customFormat="1" ht="12"/>
    <row r="454" s="154" customFormat="1" ht="12"/>
    <row r="455" s="154" customFormat="1" ht="12"/>
    <row r="456" s="154" customFormat="1" ht="12"/>
    <row r="457" s="154" customFormat="1" ht="12"/>
    <row r="458" s="154" customFormat="1" ht="12"/>
    <row r="459" s="154" customFormat="1" ht="12"/>
    <row r="460" s="154" customFormat="1" ht="12"/>
    <row r="461" s="154" customFormat="1" ht="12"/>
    <row r="462" s="154" customFormat="1" ht="12"/>
    <row r="463" s="154" customFormat="1" ht="12"/>
    <row r="464" s="154" customFormat="1" ht="12"/>
    <row r="465" s="154" customFormat="1" ht="12"/>
    <row r="466" s="154" customFormat="1" ht="12"/>
    <row r="467" s="154" customFormat="1" ht="12"/>
    <row r="468" s="154" customFormat="1" ht="12"/>
    <row r="469" s="154" customFormat="1" ht="12"/>
    <row r="470" s="154" customFormat="1" ht="12"/>
    <row r="471" s="154" customFormat="1" ht="12"/>
    <row r="472" s="154" customFormat="1" ht="12"/>
    <row r="473" s="154" customFormat="1" ht="12"/>
    <row r="474" s="154" customFormat="1" ht="12"/>
    <row r="475" s="154" customFormat="1" ht="12"/>
    <row r="476" s="154" customFormat="1" ht="12"/>
    <row r="477" s="154" customFormat="1" ht="12"/>
    <row r="478" s="154" customFormat="1" ht="12"/>
    <row r="479" s="154" customFormat="1" ht="12"/>
    <row r="480" s="154" customFormat="1" ht="12"/>
    <row r="481" s="154" customFormat="1" ht="12"/>
    <row r="482" s="154" customFormat="1" ht="12"/>
    <row r="483" s="154" customFormat="1" ht="12"/>
    <row r="484" s="154" customFormat="1" ht="12"/>
    <row r="485" s="154" customFormat="1" ht="12"/>
    <row r="486" s="154" customFormat="1" ht="12"/>
    <row r="487" s="154" customFormat="1" ht="12"/>
    <row r="488" s="154" customFormat="1" ht="12"/>
    <row r="489" s="154" customFormat="1" ht="12"/>
    <row r="490" s="154" customFormat="1" ht="12"/>
    <row r="491" s="154" customFormat="1" ht="12"/>
    <row r="492" s="154" customFormat="1" ht="12"/>
    <row r="493" s="154" customFormat="1" ht="12"/>
    <row r="494" s="154" customFormat="1" ht="12"/>
    <row r="495" s="154" customFormat="1" ht="12"/>
    <row r="496" s="154" customFormat="1" ht="12"/>
    <row r="497" s="154" customFormat="1" ht="12"/>
    <row r="498" s="154" customFormat="1" ht="12"/>
    <row r="499" s="154" customFormat="1" ht="12"/>
    <row r="500" s="154" customFormat="1" ht="12"/>
    <row r="501" s="154" customFormat="1" ht="12"/>
    <row r="502" s="154" customFormat="1" ht="12"/>
    <row r="503" s="154" customFormat="1" ht="12"/>
    <row r="504" s="154" customFormat="1" ht="12"/>
    <row r="505" s="154" customFormat="1" ht="12"/>
    <row r="506" s="154" customFormat="1" ht="12"/>
    <row r="507" s="154" customFormat="1" ht="12"/>
    <row r="508" s="154" customFormat="1" ht="12"/>
    <row r="509" s="154" customFormat="1" ht="12"/>
    <row r="510" s="154" customFormat="1" ht="12"/>
    <row r="511" s="154" customFormat="1" ht="12"/>
    <row r="512" s="154" customFormat="1" ht="12"/>
    <row r="513" s="154" customFormat="1" ht="12"/>
    <row r="514" s="154" customFormat="1" ht="12"/>
    <row r="515" s="154" customFormat="1" ht="12"/>
    <row r="516" s="154" customFormat="1" ht="12"/>
    <row r="517" s="154" customFormat="1" ht="12"/>
    <row r="518" s="154" customFormat="1" ht="12"/>
    <row r="519" s="154" customFormat="1" ht="12"/>
    <row r="520" s="154" customFormat="1" ht="12"/>
    <row r="521" s="154" customFormat="1" ht="12"/>
    <row r="522" s="154" customFormat="1" ht="12"/>
    <row r="523" s="154" customFormat="1" ht="12"/>
    <row r="524" s="154" customFormat="1" ht="12"/>
    <row r="525" s="154" customFormat="1" ht="12"/>
    <row r="526" s="154" customFormat="1" ht="12"/>
    <row r="527" s="154" customFormat="1" ht="12"/>
    <row r="528" s="154" customFormat="1" ht="12"/>
    <row r="529" s="154" customFormat="1" ht="12"/>
    <row r="530" s="154" customFormat="1" ht="12"/>
    <row r="531" s="154" customFormat="1" ht="12"/>
    <row r="532" s="154" customFormat="1" ht="12"/>
    <row r="533" s="154" customFormat="1" ht="12"/>
    <row r="534" s="154" customFormat="1" ht="12"/>
    <row r="535" s="154" customFormat="1" ht="12"/>
    <row r="536" s="154" customFormat="1" ht="12"/>
    <row r="537" s="154" customFormat="1" ht="12"/>
    <row r="538" s="154" customFormat="1" ht="12"/>
    <row r="539" s="154" customFormat="1" ht="12"/>
    <row r="540" s="154" customFormat="1" ht="12"/>
    <row r="541" s="154" customFormat="1" ht="12"/>
    <row r="542" s="154" customFormat="1" ht="12"/>
    <row r="543" s="154" customFormat="1" ht="12"/>
    <row r="544" s="154" customFormat="1" ht="12"/>
    <row r="545" s="154" customFormat="1" ht="12"/>
    <row r="546" s="154" customFormat="1" ht="12"/>
    <row r="547" s="154" customFormat="1" ht="12"/>
    <row r="548" s="154" customFormat="1" ht="12"/>
    <row r="549" s="154" customFormat="1" ht="12"/>
    <row r="550" s="154" customFormat="1" ht="12"/>
    <row r="551" s="154" customFormat="1" ht="12"/>
    <row r="552" s="154" customFormat="1" ht="12"/>
    <row r="553" s="154" customFormat="1" ht="12"/>
    <row r="554" s="154" customFormat="1" ht="12"/>
    <row r="555" s="154" customFormat="1" ht="12"/>
    <row r="556" s="154" customFormat="1" ht="12"/>
    <row r="557" s="154" customFormat="1" ht="12"/>
    <row r="558" s="154" customFormat="1" ht="12"/>
    <row r="559" s="154" customFormat="1" ht="12"/>
    <row r="560" s="154" customFormat="1" ht="12"/>
    <row r="561" s="154" customFormat="1" ht="12"/>
    <row r="562" s="154" customFormat="1" ht="12"/>
    <row r="563" s="154" customFormat="1" ht="12"/>
    <row r="564" s="154" customFormat="1" ht="12"/>
    <row r="565" s="154" customFormat="1" ht="12"/>
    <row r="566" s="154" customFormat="1" ht="12"/>
    <row r="567" s="154" customFormat="1" ht="12"/>
    <row r="568" s="154" customFormat="1" ht="12"/>
    <row r="569" s="154" customFormat="1" ht="12"/>
    <row r="570" s="154" customFormat="1" ht="12"/>
    <row r="571" s="154" customFormat="1" ht="12"/>
    <row r="572" s="154" customFormat="1" ht="12"/>
    <row r="573" s="154" customFormat="1" ht="12"/>
    <row r="574" s="154" customFormat="1" ht="12"/>
    <row r="575" s="154" customFormat="1" ht="12"/>
    <row r="576" s="154" customFormat="1" ht="12"/>
    <row r="577" s="154" customFormat="1" ht="12"/>
    <row r="578" s="154" customFormat="1" ht="12"/>
    <row r="579" s="154" customFormat="1" ht="12"/>
    <row r="580" s="154" customFormat="1" ht="12"/>
    <row r="581" s="154" customFormat="1" ht="12"/>
    <row r="582" s="154" customFormat="1" ht="12"/>
    <row r="583" s="154" customFormat="1" ht="12"/>
    <row r="584" s="154" customFormat="1" ht="12"/>
    <row r="585" s="154" customFormat="1" ht="12"/>
    <row r="586" s="154" customFormat="1" ht="12"/>
    <row r="587" s="154" customFormat="1" ht="12"/>
    <row r="588" s="154" customFormat="1" ht="12"/>
    <row r="589" s="154" customFormat="1" ht="12"/>
    <row r="590" s="154" customFormat="1" ht="12"/>
    <row r="591" s="154" customFormat="1" ht="12"/>
    <row r="592" s="154" customFormat="1" ht="12"/>
    <row r="593" s="154" customFormat="1" ht="12"/>
    <row r="594" s="154" customFormat="1" ht="12"/>
    <row r="595" s="154" customFormat="1" ht="12"/>
    <row r="596" s="154" customFormat="1" ht="12"/>
    <row r="597" s="154" customFormat="1" ht="12"/>
    <row r="598" s="154" customFormat="1" ht="12"/>
    <row r="599" s="154" customFormat="1" ht="12"/>
    <row r="600" s="154" customFormat="1" ht="12"/>
    <row r="601" s="154" customFormat="1" ht="12"/>
    <row r="602" s="154" customFormat="1" ht="12"/>
    <row r="603" s="154" customFormat="1" ht="12"/>
    <row r="604" s="154" customFormat="1" ht="12"/>
    <row r="605" s="154" customFormat="1" ht="12"/>
    <row r="606" s="154" customFormat="1" ht="12"/>
    <row r="607" s="154" customFormat="1" ht="12"/>
    <row r="608" s="154" customFormat="1" ht="12"/>
    <row r="609" s="154" customFormat="1" ht="12"/>
    <row r="610" s="154" customFormat="1" ht="12"/>
    <row r="611" s="154" customFormat="1" ht="12"/>
    <row r="612" s="154" customFormat="1" ht="12"/>
    <row r="613" s="154" customFormat="1" ht="12"/>
    <row r="614" s="154" customFormat="1" ht="12"/>
    <row r="615" s="154" customFormat="1" ht="12"/>
    <row r="616" s="154" customFormat="1" ht="12"/>
    <row r="617" s="154" customFormat="1" ht="12"/>
    <row r="618" s="154" customFormat="1" ht="12"/>
    <row r="619" s="154" customFormat="1" ht="12"/>
    <row r="620" s="154" customFormat="1" ht="12"/>
    <row r="621" s="154" customFormat="1" ht="12"/>
    <row r="622" s="154" customFormat="1" ht="12"/>
    <row r="623" s="154" customFormat="1" ht="12"/>
    <row r="624" s="154" customFormat="1" ht="12"/>
    <row r="625" s="154" customFormat="1" ht="12"/>
    <row r="626" s="154" customFormat="1" ht="12"/>
    <row r="627" s="154" customFormat="1" ht="12"/>
    <row r="628" s="154" customFormat="1" ht="12"/>
    <row r="629" s="154" customFormat="1" ht="12"/>
    <row r="630" s="154" customFormat="1" ht="12"/>
    <row r="631" s="154" customFormat="1" ht="12"/>
    <row r="632" s="154" customFormat="1" ht="12"/>
    <row r="633" s="154" customFormat="1" ht="12"/>
    <row r="634" s="154" customFormat="1" ht="12"/>
    <row r="635" s="154" customFormat="1" ht="12"/>
    <row r="636" s="154" customFormat="1" ht="12"/>
    <row r="637" s="154" customFormat="1" ht="12"/>
    <row r="638" s="154" customFormat="1" ht="12"/>
    <row r="639" s="154" customFormat="1" ht="12"/>
    <row r="640" s="154" customFormat="1" ht="12"/>
    <row r="641" s="154" customFormat="1" ht="12"/>
    <row r="642" s="154" customFormat="1" ht="12"/>
    <row r="643" s="154" customFormat="1" ht="12"/>
    <row r="644" s="154" customFormat="1" ht="12"/>
    <row r="645" s="154" customFormat="1" ht="12"/>
    <row r="646" s="154" customFormat="1" ht="12"/>
    <row r="647" s="154" customFormat="1" ht="12"/>
    <row r="648" s="154" customFormat="1" ht="12"/>
    <row r="649" s="154" customFormat="1" ht="12"/>
    <row r="650" s="154" customFormat="1" ht="12"/>
    <row r="651" s="154" customFormat="1" ht="12"/>
    <row r="652" s="154" customFormat="1" ht="12"/>
    <row r="653" s="154" customFormat="1" ht="12"/>
    <row r="654" s="154" customFormat="1" ht="12"/>
    <row r="655" s="154" customFormat="1" ht="12"/>
    <row r="656" s="154" customFormat="1" ht="12"/>
    <row r="657" s="154" customFormat="1" ht="12"/>
    <row r="658" s="154" customFormat="1" ht="12"/>
    <row r="659" s="154" customFormat="1" ht="12"/>
    <row r="660" s="154" customFormat="1" ht="12"/>
    <row r="661" s="154" customFormat="1" ht="12"/>
    <row r="662" s="154" customFormat="1" ht="12"/>
    <row r="663" s="154" customFormat="1" ht="12"/>
    <row r="664" s="154" customFormat="1" ht="12"/>
    <row r="665" s="154" customFormat="1" ht="12"/>
    <row r="666" s="154" customFormat="1" ht="12"/>
    <row r="667" s="154" customFormat="1" ht="12"/>
    <row r="668" s="154" customFormat="1" ht="12"/>
    <row r="669" s="154" customFormat="1" ht="12"/>
    <row r="670" s="154" customFormat="1" ht="12"/>
    <row r="671" s="154" customFormat="1" ht="12"/>
    <row r="672" s="154" customFormat="1" ht="12"/>
    <row r="673" s="154" customFormat="1" ht="12"/>
    <row r="674" s="154" customFormat="1" ht="12"/>
    <row r="675" s="154" customFormat="1" ht="12"/>
    <row r="676" s="154" customFormat="1" ht="12"/>
    <row r="677" s="154" customFormat="1" ht="12"/>
    <row r="678" s="154" customFormat="1" ht="12"/>
    <row r="679" s="154" customFormat="1" ht="12"/>
    <row r="680" s="154" customFormat="1" ht="12"/>
    <row r="681" s="154" customFormat="1" ht="12"/>
    <row r="682" s="154" customFormat="1" ht="12"/>
    <row r="683" s="154" customFormat="1" ht="12"/>
    <row r="684" s="154" customFormat="1" ht="12"/>
    <row r="685" s="154" customFormat="1" ht="12"/>
    <row r="686" s="154" customFormat="1" ht="12"/>
    <row r="687" s="154" customFormat="1" ht="12"/>
    <row r="688" s="154" customFormat="1" ht="12"/>
    <row r="689" s="154" customFormat="1" ht="12"/>
    <row r="690" s="154" customFormat="1" ht="12"/>
    <row r="691" s="154" customFormat="1" ht="12"/>
    <row r="692" s="154" customFormat="1" ht="12"/>
    <row r="693" s="154" customFormat="1" ht="12"/>
    <row r="694" s="154" customFormat="1" ht="12"/>
    <row r="695" s="154" customFormat="1" ht="12"/>
    <row r="696" s="154" customFormat="1" ht="12"/>
    <row r="697" s="154" customFormat="1" ht="12"/>
    <row r="698" s="154" customFormat="1" ht="12"/>
    <row r="699" s="154" customFormat="1" ht="12"/>
    <row r="700" s="154" customFormat="1" ht="12"/>
    <row r="701" s="154" customFormat="1" ht="12"/>
    <row r="702" s="154" customFormat="1" ht="12"/>
    <row r="703" s="154" customFormat="1" ht="12"/>
    <row r="704" s="154" customFormat="1" ht="12"/>
    <row r="705" s="154" customFormat="1" ht="12"/>
    <row r="706" s="154" customFormat="1" ht="12"/>
    <row r="707" s="154" customFormat="1" ht="12"/>
    <row r="708" s="154" customFormat="1" ht="12"/>
    <row r="709" s="154" customFormat="1" ht="12"/>
    <row r="710" s="154" customFormat="1" ht="12"/>
    <row r="711" s="154" customFormat="1" ht="12"/>
    <row r="712" s="154" customFormat="1" ht="12"/>
    <row r="713" s="154" customFormat="1" ht="12"/>
    <row r="714" s="154" customFormat="1" ht="12"/>
    <row r="715" s="154" customFormat="1" ht="12"/>
    <row r="716" s="154" customFormat="1" ht="12"/>
    <row r="717" s="154" customFormat="1" ht="12"/>
    <row r="718" s="154" customFormat="1" ht="12"/>
    <row r="719" s="154" customFormat="1" ht="12"/>
    <row r="720" s="154" customFormat="1" ht="12"/>
    <row r="721" s="154" customFormat="1" ht="12"/>
    <row r="722" s="154" customFormat="1" ht="12"/>
    <row r="723" s="154" customFormat="1" ht="12"/>
    <row r="724" s="154" customFormat="1" ht="12"/>
    <row r="725" s="154" customFormat="1" ht="12"/>
    <row r="726" s="154" customFormat="1" ht="12"/>
    <row r="727" s="154" customFormat="1" ht="12"/>
    <row r="728" s="154" customFormat="1" ht="12"/>
    <row r="729" s="154" customFormat="1" ht="12"/>
    <row r="730" s="154" customFormat="1" ht="12"/>
    <row r="731" s="154" customFormat="1" ht="12"/>
    <row r="732" s="154" customFormat="1" ht="12"/>
    <row r="733" s="154" customFormat="1" ht="12"/>
    <row r="734" s="154" customFormat="1" ht="12"/>
    <row r="735" s="154" customFormat="1" ht="12"/>
    <row r="736" s="154" customFormat="1" ht="12"/>
    <row r="737" s="154" customFormat="1" ht="12"/>
    <row r="738" s="154" customFormat="1" ht="12"/>
    <row r="739" s="154" customFormat="1" ht="12"/>
    <row r="740" s="154" customFormat="1" ht="12"/>
    <row r="741" s="154" customFormat="1" ht="12"/>
    <row r="742" s="154" customFormat="1" ht="12"/>
    <row r="743" s="154" customFormat="1" ht="12"/>
    <row r="744" s="154" customFormat="1" ht="12"/>
    <row r="745" s="154" customFormat="1" ht="12"/>
    <row r="746" s="154" customFormat="1" ht="12"/>
    <row r="747" s="154" customFormat="1" ht="12"/>
    <row r="748" s="154" customFormat="1" ht="12"/>
    <row r="749" s="154" customFormat="1" ht="12"/>
    <row r="750" s="154" customFormat="1" ht="12"/>
    <row r="751" s="154" customFormat="1" ht="12"/>
    <row r="752" s="154" customFormat="1" ht="12"/>
    <row r="753" s="154" customFormat="1" ht="12"/>
    <row r="754" s="154" customFormat="1" ht="12"/>
    <row r="755" s="154" customFormat="1" ht="12"/>
    <row r="756" s="154" customFormat="1" ht="12"/>
    <row r="757" s="154" customFormat="1" ht="12"/>
    <row r="758" s="154" customFormat="1" ht="12"/>
    <row r="759" s="154" customFormat="1" ht="12"/>
    <row r="760" s="154" customFormat="1" ht="12"/>
    <row r="761" s="154" customFormat="1" ht="12"/>
    <row r="762" s="154" customFormat="1" ht="12"/>
    <row r="763" s="154" customFormat="1" ht="12"/>
    <row r="764" s="154" customFormat="1" ht="12"/>
    <row r="765" s="154" customFormat="1" ht="12"/>
    <row r="766" s="154" customFormat="1" ht="12"/>
    <row r="767" s="154" customFormat="1" ht="12"/>
    <row r="768" s="154" customFormat="1" ht="12"/>
    <row r="769" s="154" customFormat="1" ht="12"/>
    <row r="770" s="154" customFormat="1" ht="12"/>
    <row r="771" s="154" customFormat="1" ht="12"/>
    <row r="772" s="154" customFormat="1" ht="12"/>
    <row r="773" s="154" customFormat="1" ht="12"/>
    <row r="774" s="154" customFormat="1" ht="12"/>
    <row r="775" s="154" customFormat="1" ht="12"/>
    <row r="776" s="154" customFormat="1" ht="12"/>
    <row r="777" s="154" customFormat="1" ht="12"/>
    <row r="778" s="154" customFormat="1" ht="12"/>
    <row r="779" s="154" customFormat="1" ht="12"/>
    <row r="780" s="154" customFormat="1" ht="12"/>
    <row r="781" s="154" customFormat="1" ht="12"/>
    <row r="782" s="154" customFormat="1" ht="12"/>
    <row r="783" s="154" customFormat="1" ht="12"/>
    <row r="784" s="154" customFormat="1" ht="12"/>
    <row r="785" s="154" customFormat="1" ht="12"/>
    <row r="786" s="154" customFormat="1" ht="12"/>
    <row r="787" s="154" customFormat="1" ht="12"/>
    <row r="788" s="154" customFormat="1" ht="12"/>
    <row r="789" s="154" customFormat="1" ht="12"/>
    <row r="790" s="154" customFormat="1" ht="12"/>
    <row r="791" s="154" customFormat="1" ht="12"/>
    <row r="792" s="154" customFormat="1" ht="12"/>
    <row r="793" s="154" customFormat="1" ht="12"/>
    <row r="794" s="154" customFormat="1" ht="12"/>
    <row r="795" s="154" customFormat="1" ht="12"/>
    <row r="796" s="154" customFormat="1" ht="12"/>
    <row r="797" s="154" customFormat="1" ht="12"/>
    <row r="798" s="154" customFormat="1" ht="12"/>
    <row r="799" s="154" customFormat="1" ht="12"/>
    <row r="800" s="154" customFormat="1" ht="12"/>
    <row r="801" s="154" customFormat="1" ht="12"/>
    <row r="802" s="154" customFormat="1" ht="12"/>
    <row r="803" s="154" customFormat="1" ht="12"/>
    <row r="804" s="154" customFormat="1" ht="12"/>
    <row r="805" s="154" customFormat="1" ht="12"/>
    <row r="806" s="154" customFormat="1" ht="12"/>
    <row r="807" s="154" customFormat="1" ht="12"/>
    <row r="808" s="154" customFormat="1" ht="12"/>
    <row r="809" s="154" customFormat="1" ht="12"/>
    <row r="810" s="154" customFormat="1" ht="12"/>
    <row r="811" s="154" customFormat="1" ht="12"/>
    <row r="812" s="154" customFormat="1" ht="12"/>
    <row r="813" s="154" customFormat="1" ht="12"/>
    <row r="814" s="154" customFormat="1" ht="12"/>
    <row r="815" s="154" customFormat="1" ht="12"/>
    <row r="816" s="154" customFormat="1" ht="12"/>
    <row r="817" s="154" customFormat="1" ht="12"/>
    <row r="818" s="154" customFormat="1" ht="12"/>
    <row r="819" s="154" customFormat="1" ht="12"/>
    <row r="820" s="154" customFormat="1" ht="12"/>
    <row r="821" s="154" customFormat="1" ht="12"/>
    <row r="822" s="154" customFormat="1" ht="12"/>
    <row r="823" s="154" customFormat="1" ht="12"/>
    <row r="824" s="154" customFormat="1" ht="12"/>
    <row r="825" s="154" customFormat="1" ht="12"/>
    <row r="826" s="154" customFormat="1" ht="12"/>
    <row r="827" s="154" customFormat="1" ht="12"/>
    <row r="828" s="154" customFormat="1" ht="12"/>
    <row r="829" s="154" customFormat="1" ht="12"/>
    <row r="830" s="154" customFormat="1" ht="12"/>
    <row r="831" s="154" customFormat="1" ht="12"/>
    <row r="832" s="154" customFormat="1" ht="12"/>
    <row r="833" s="154" customFormat="1" ht="12"/>
    <row r="834" s="154" customFormat="1" ht="12"/>
    <row r="835" s="154" customFormat="1" ht="12"/>
    <row r="836" s="154" customFormat="1" ht="12"/>
    <row r="837" s="154" customFormat="1" ht="12"/>
    <row r="838" s="154" customFormat="1" ht="12"/>
    <row r="839" s="154" customFormat="1" ht="12"/>
    <row r="840" s="154" customFormat="1" ht="12"/>
    <row r="841" s="154" customFormat="1" ht="12"/>
    <row r="842" s="154" customFormat="1" ht="12"/>
    <row r="843" s="154" customFormat="1" ht="12"/>
    <row r="844" s="154" customFormat="1" ht="12"/>
    <row r="845" s="154" customFormat="1" ht="12"/>
    <row r="846" s="154" customFormat="1" ht="12"/>
    <row r="847" s="154" customFormat="1" ht="12"/>
    <row r="848" s="154" customFormat="1" ht="12"/>
    <row r="849" s="154" customFormat="1" ht="12"/>
    <row r="850" s="154" customFormat="1" ht="12"/>
    <row r="851" s="154" customFormat="1" ht="12"/>
    <row r="852" s="154" customFormat="1" ht="12"/>
    <row r="853" s="154" customFormat="1" ht="12"/>
    <row r="854" s="154" customFormat="1" ht="12"/>
    <row r="855" s="154" customFormat="1" ht="12"/>
    <row r="856" s="154" customFormat="1" ht="12"/>
    <row r="857" s="154" customFormat="1" ht="12"/>
    <row r="858" s="154" customFormat="1" ht="12"/>
    <row r="859" s="154" customFormat="1" ht="12"/>
    <row r="860" s="154" customFormat="1" ht="12"/>
    <row r="861" s="154" customFormat="1" ht="12"/>
    <row r="862" s="154" customFormat="1" ht="12"/>
    <row r="863" s="154" customFormat="1" ht="12"/>
    <row r="864" s="154" customFormat="1" ht="12"/>
    <row r="865" s="154" customFormat="1" ht="12"/>
    <row r="866" s="154" customFormat="1" ht="12"/>
    <row r="867" s="154" customFormat="1" ht="12"/>
    <row r="868" s="154" customFormat="1" ht="12"/>
    <row r="869" s="154" customFormat="1" ht="12"/>
    <row r="870" s="154" customFormat="1" ht="12"/>
    <row r="871" s="154" customFormat="1" ht="12"/>
    <row r="872" s="154" customFormat="1" ht="12"/>
    <row r="873" s="154" customFormat="1" ht="12"/>
    <row r="874" s="154" customFormat="1" ht="12"/>
    <row r="875" s="154" customFormat="1" ht="12"/>
    <row r="876" s="154" customFormat="1" ht="12"/>
    <row r="877" s="154" customFormat="1" ht="12"/>
    <row r="878" s="154" customFormat="1" ht="12"/>
    <row r="879" s="154" customFormat="1" ht="12"/>
    <row r="880" s="154" customFormat="1" ht="12"/>
    <row r="881" s="154" customFormat="1" ht="12"/>
    <row r="882" s="154" customFormat="1" ht="12"/>
    <row r="883" s="154" customFormat="1" ht="12"/>
    <row r="884" s="154" customFormat="1" ht="12"/>
    <row r="885" s="154" customFormat="1" ht="12"/>
    <row r="886" s="154" customFormat="1" ht="12"/>
    <row r="887" s="154" customFormat="1" ht="12"/>
    <row r="888" s="154" customFormat="1" ht="12"/>
    <row r="889" s="154" customFormat="1" ht="12"/>
    <row r="890" s="154" customFormat="1" ht="12"/>
    <row r="891" s="154" customFormat="1" ht="12"/>
    <row r="892" s="154" customFormat="1" ht="12"/>
    <row r="893" s="154" customFormat="1" ht="12"/>
    <row r="894" s="154" customFormat="1" ht="12"/>
    <row r="895" s="154" customFormat="1" ht="12"/>
    <row r="896" s="154" customFormat="1" ht="12"/>
    <row r="897" s="154" customFormat="1" ht="12"/>
    <row r="898" s="154" customFormat="1" ht="12"/>
    <row r="899" s="154" customFormat="1" ht="12"/>
    <row r="900" s="154" customFormat="1" ht="12"/>
    <row r="901" s="154" customFormat="1" ht="12"/>
    <row r="902" s="154" customFormat="1" ht="12"/>
    <row r="903" s="154" customFormat="1" ht="12"/>
    <row r="904" s="154" customFormat="1" ht="12"/>
    <row r="905" s="154" customFormat="1" ht="12"/>
    <row r="906" s="154" customFormat="1" ht="12"/>
    <row r="907" s="154" customFormat="1" ht="12"/>
    <row r="908" s="154" customFormat="1" ht="12"/>
    <row r="909" s="154" customFormat="1" ht="12"/>
    <row r="910" s="154" customFormat="1" ht="12"/>
    <row r="911" s="154" customFormat="1" ht="12"/>
    <row r="912" s="154" customFormat="1" ht="12"/>
    <row r="913" s="154" customFormat="1" ht="12"/>
    <row r="914" s="154" customFormat="1" ht="12"/>
    <row r="915" s="154" customFormat="1" ht="12"/>
    <row r="916" s="154" customFormat="1" ht="12"/>
    <row r="917" s="154" customFormat="1" ht="12"/>
    <row r="918" s="154" customFormat="1" ht="12"/>
    <row r="919" s="154" customFormat="1" ht="12"/>
    <row r="920" s="154" customFormat="1" ht="12"/>
    <row r="921" s="154" customFormat="1" ht="12"/>
    <row r="922" s="154" customFormat="1" ht="12"/>
    <row r="923" s="154" customFormat="1" ht="12"/>
    <row r="924" s="154" customFormat="1" ht="12"/>
    <row r="925" s="154" customFormat="1" ht="12"/>
    <row r="926" s="154" customFormat="1" ht="12"/>
    <row r="927" s="154" customFormat="1" ht="12"/>
    <row r="928" s="154" customFormat="1" ht="12"/>
    <row r="929" s="154" customFormat="1" ht="12"/>
    <row r="930" s="154" customFormat="1" ht="12"/>
    <row r="931" s="154" customFormat="1" ht="12"/>
    <row r="932" s="154" customFormat="1" ht="12"/>
    <row r="933" s="154" customFormat="1" ht="12"/>
    <row r="934" s="154" customFormat="1" ht="12"/>
    <row r="935" s="154" customFormat="1" ht="12"/>
    <row r="936" s="154" customFormat="1" ht="12"/>
    <row r="937" s="154" customFormat="1" ht="12"/>
    <row r="938" s="154" customFormat="1" ht="12"/>
    <row r="939" s="154" customFormat="1" ht="12"/>
    <row r="940" s="154" customFormat="1" ht="12"/>
    <row r="941" s="154" customFormat="1" ht="12"/>
    <row r="942" s="154" customFormat="1" ht="12"/>
    <row r="943" s="154" customFormat="1" ht="12"/>
    <row r="944" s="154" customFormat="1" ht="12"/>
    <row r="945" s="154" customFormat="1" ht="12"/>
    <row r="946" s="154" customFormat="1" ht="12"/>
    <row r="947" s="154" customFormat="1" ht="12"/>
    <row r="948" s="154" customFormat="1" ht="12"/>
    <row r="949" s="154" customFormat="1" ht="12"/>
    <row r="950" s="154" customFormat="1" ht="12"/>
    <row r="951" s="154" customFormat="1" ht="12"/>
    <row r="952" s="154" customFormat="1" ht="12"/>
    <row r="953" s="154" customFormat="1" ht="12"/>
    <row r="954" s="154" customFormat="1" ht="12"/>
    <row r="955" s="154" customFormat="1" ht="12"/>
    <row r="956" s="154" customFormat="1" ht="12"/>
    <row r="957" s="154" customFormat="1" ht="12"/>
    <row r="958" s="154" customFormat="1" ht="12"/>
    <row r="959" s="154" customFormat="1" ht="12"/>
    <row r="960" s="154" customFormat="1" ht="12"/>
    <row r="961" s="154" customFormat="1" ht="12"/>
    <row r="962" s="154" customFormat="1" ht="12"/>
    <row r="963" s="154" customFormat="1" ht="12"/>
    <row r="964" s="154" customFormat="1" ht="12"/>
    <row r="965" s="154" customFormat="1" ht="12"/>
    <row r="966" s="154" customFormat="1" ht="12"/>
    <row r="967" s="154" customFormat="1" ht="12"/>
    <row r="968" s="154" customFormat="1" ht="12"/>
    <row r="969" s="154" customFormat="1" ht="12"/>
    <row r="970" s="154" customFormat="1" ht="12"/>
    <row r="971" s="154" customFormat="1" ht="12"/>
    <row r="972" s="154" customFormat="1" ht="12"/>
    <row r="973" s="154" customFormat="1" ht="12"/>
    <row r="974" s="154" customFormat="1" ht="12"/>
    <row r="975" s="154" customFormat="1" ht="12"/>
    <row r="976" s="154" customFormat="1" ht="12"/>
    <row r="977" s="154" customFormat="1" ht="12"/>
    <row r="978" s="154" customFormat="1" ht="12"/>
    <row r="979" s="154" customFormat="1" ht="12"/>
    <row r="980" s="154" customFormat="1" ht="12"/>
    <row r="981" s="154" customFormat="1" ht="12"/>
    <row r="982" s="154" customFormat="1" ht="12"/>
    <row r="983" s="154" customFormat="1" ht="12"/>
    <row r="984" s="154" customFormat="1" ht="12"/>
    <row r="985" s="154" customFormat="1" ht="12"/>
    <row r="986" s="154" customFormat="1" ht="12"/>
    <row r="987" s="154" customFormat="1" ht="12"/>
    <row r="988" s="154" customFormat="1" ht="12"/>
    <row r="989" s="154" customFormat="1" ht="12"/>
    <row r="990" s="154" customFormat="1" ht="12"/>
    <row r="991" s="154" customFormat="1" ht="12"/>
    <row r="992" s="154" customFormat="1" ht="12"/>
    <row r="993" s="154" customFormat="1" ht="12"/>
    <row r="994" s="154" customFormat="1" ht="12"/>
    <row r="995" s="154" customFormat="1" ht="12"/>
    <row r="996" s="154" customFormat="1" ht="12"/>
    <row r="997" s="154" customFormat="1" ht="12"/>
    <row r="998" s="154" customFormat="1" ht="12"/>
    <row r="999" s="154" customFormat="1" ht="12"/>
    <row r="1000" s="154" customFormat="1" ht="12"/>
    <row r="1001" s="154" customFormat="1" ht="12"/>
    <row r="1002" s="154" customFormat="1" ht="12"/>
    <row r="1003" s="154" customFormat="1" ht="12"/>
    <row r="1004" s="154" customFormat="1" ht="12"/>
    <row r="1005" s="154" customFormat="1" ht="12"/>
    <row r="1006" s="154" customFormat="1" ht="12"/>
    <row r="1007" s="154" customFormat="1" ht="12"/>
    <row r="1008" s="154" customFormat="1" ht="12"/>
    <row r="1009" s="154" customFormat="1" ht="12"/>
    <row r="1010" s="154" customFormat="1" ht="12"/>
    <row r="1011" s="154" customFormat="1" ht="12"/>
    <row r="1012" s="154" customFormat="1" ht="12"/>
    <row r="1013" s="154" customFormat="1" ht="12"/>
    <row r="1014" s="154" customFormat="1" ht="12"/>
    <row r="1015" s="154" customFormat="1" ht="12"/>
    <row r="1016" s="154" customFormat="1" ht="12"/>
    <row r="1017" s="154" customFormat="1" ht="12"/>
    <row r="1018" s="154" customFormat="1" ht="12"/>
    <row r="1019" s="154" customFormat="1" ht="12"/>
    <row r="1020" s="154" customFormat="1" ht="12"/>
    <row r="1021" s="154" customFormat="1" ht="12"/>
    <row r="1022" s="154" customFormat="1" ht="12"/>
    <row r="1023" s="154" customFormat="1" ht="12"/>
    <row r="1024" s="154" customFormat="1" ht="12"/>
    <row r="1025" s="154" customFormat="1" ht="12"/>
    <row r="1026" s="154" customFormat="1" ht="12"/>
    <row r="1027" s="154" customFormat="1" ht="12"/>
    <row r="1028" s="154" customFormat="1" ht="12"/>
    <row r="1029" s="154" customFormat="1" ht="12"/>
    <row r="1030" s="154" customFormat="1" ht="12"/>
    <row r="1031" s="154" customFormat="1" ht="12"/>
    <row r="1032" s="154" customFormat="1" ht="12"/>
    <row r="1033" s="154" customFormat="1" ht="12"/>
    <row r="1034" s="154" customFormat="1" ht="12"/>
    <row r="1035" s="154" customFormat="1" ht="12"/>
    <row r="1036" s="154" customFormat="1" ht="12"/>
    <row r="1037" s="154" customFormat="1" ht="12"/>
    <row r="1038" s="154" customFormat="1" ht="12"/>
    <row r="1039" s="154" customFormat="1" ht="12"/>
    <row r="1040" s="154" customFormat="1" ht="12"/>
    <row r="1041" s="154" customFormat="1" ht="12"/>
    <row r="1042" s="154" customFormat="1" ht="12"/>
    <row r="1043" s="154" customFormat="1" ht="12"/>
    <row r="1044" s="154" customFormat="1" ht="12"/>
    <row r="1045" s="154" customFormat="1" ht="12"/>
    <row r="1046" s="154" customFormat="1" ht="12"/>
    <row r="1047" s="154" customFormat="1" ht="12"/>
    <row r="1048" s="154" customFormat="1" ht="12"/>
    <row r="1049" s="154" customFormat="1" ht="12"/>
    <row r="1050" s="154" customFormat="1" ht="12"/>
    <row r="1051" s="154" customFormat="1" ht="12"/>
    <row r="1052" s="154" customFormat="1" ht="12"/>
    <row r="1053" s="154" customFormat="1" ht="12"/>
    <row r="1054" s="154" customFormat="1" ht="12"/>
    <row r="1055" s="154" customFormat="1" ht="12"/>
    <row r="1056" s="154" customFormat="1" ht="12"/>
    <row r="1057" s="154" customFormat="1" ht="12"/>
    <row r="1058" s="154" customFormat="1" ht="12"/>
    <row r="1059" s="154" customFormat="1" ht="12"/>
    <row r="1060" s="154" customFormat="1" ht="12"/>
    <row r="1061" s="154" customFormat="1" ht="12"/>
    <row r="1062" s="154" customFormat="1" ht="12"/>
    <row r="1063" s="154" customFormat="1" ht="12"/>
    <row r="1064" s="154" customFormat="1" ht="12"/>
    <row r="1065" s="154" customFormat="1" ht="12"/>
    <row r="1066" s="154" customFormat="1" ht="12"/>
    <row r="1067" s="154" customFormat="1" ht="12"/>
    <row r="1068" s="154" customFormat="1" ht="12"/>
    <row r="1069" s="154" customFormat="1" ht="12"/>
    <row r="1070" s="154" customFormat="1" ht="12"/>
    <row r="1071" s="154" customFormat="1" ht="12"/>
    <row r="1072" s="154" customFormat="1" ht="12"/>
    <row r="1073" s="154" customFormat="1" ht="12"/>
    <row r="1074" s="154" customFormat="1" ht="12"/>
    <row r="1075" s="154" customFormat="1" ht="12"/>
    <row r="1076" s="154" customFormat="1" ht="12"/>
    <row r="1077" s="154" customFormat="1" ht="12"/>
    <row r="1078" s="154" customFormat="1" ht="12"/>
    <row r="1079" s="154" customFormat="1" ht="12"/>
    <row r="1080" s="154" customFormat="1" ht="12"/>
    <row r="1081" s="154" customFormat="1" ht="12"/>
    <row r="1082" s="154" customFormat="1" ht="12"/>
    <row r="1083" s="154" customFormat="1" ht="12"/>
    <row r="1084" s="154" customFormat="1" ht="12"/>
    <row r="1085" s="154" customFormat="1" ht="12"/>
    <row r="1086" s="154" customFormat="1" ht="12"/>
    <row r="1087" s="154" customFormat="1" ht="12"/>
    <row r="1088" s="154" customFormat="1" ht="12"/>
    <row r="1089" s="154" customFormat="1" ht="12"/>
    <row r="1090" s="154" customFormat="1" ht="12"/>
    <row r="1091" s="154" customFormat="1" ht="12"/>
    <row r="1092" s="154" customFormat="1" ht="12"/>
    <row r="1093" s="154" customFormat="1" ht="12"/>
    <row r="1094" s="154" customFormat="1" ht="12"/>
    <row r="1095" s="154" customFormat="1" ht="12"/>
    <row r="1096" s="154" customFormat="1" ht="12"/>
    <row r="1097" s="154" customFormat="1" ht="12"/>
    <row r="1098" s="154" customFormat="1" ht="12"/>
    <row r="1099" s="154" customFormat="1" ht="12"/>
    <row r="1100" s="154" customFormat="1" ht="12"/>
    <row r="1101" s="154" customFormat="1" ht="12"/>
    <row r="1102" s="154" customFormat="1" ht="12"/>
    <row r="1103" s="154" customFormat="1" ht="12"/>
    <row r="1104" s="154" customFormat="1" ht="12"/>
    <row r="1105" s="154" customFormat="1" ht="12"/>
    <row r="1106" s="154" customFormat="1" ht="12"/>
    <row r="1107" s="154" customFormat="1" ht="12"/>
    <row r="1108" s="154" customFormat="1" ht="12"/>
    <row r="1109" s="154" customFormat="1" ht="12"/>
    <row r="1110" s="154" customFormat="1" ht="12"/>
    <row r="1111" s="154" customFormat="1" ht="12"/>
    <row r="1112" s="154" customFormat="1" ht="12"/>
    <row r="1113" s="154" customFormat="1" ht="12"/>
    <row r="1114" s="154" customFormat="1" ht="12"/>
    <row r="1115" s="154" customFormat="1" ht="12"/>
    <row r="1116" s="154" customFormat="1" ht="12"/>
    <row r="1117" s="154" customFormat="1" ht="12"/>
    <row r="1118" s="154" customFormat="1" ht="12"/>
    <row r="1119" s="154" customFormat="1" ht="12"/>
    <row r="1120" s="154" customFormat="1" ht="12"/>
    <row r="1121" s="154" customFormat="1" ht="12"/>
    <row r="1122" s="154" customFormat="1" ht="12"/>
    <row r="1123" s="154" customFormat="1" ht="12"/>
    <row r="1124" s="154" customFormat="1" ht="12"/>
    <row r="1125" s="154" customFormat="1" ht="12"/>
    <row r="1126" s="154" customFormat="1" ht="12"/>
    <row r="1127" s="154" customFormat="1" ht="12"/>
    <row r="1128" s="154" customFormat="1" ht="12"/>
    <row r="1129" s="154" customFormat="1" ht="12"/>
    <row r="1130" s="154" customFormat="1" ht="12"/>
    <row r="1131" s="154" customFormat="1" ht="12"/>
    <row r="1132" s="154" customFormat="1" ht="12"/>
    <row r="1133" s="154" customFormat="1" ht="12"/>
    <row r="1134" s="154" customFormat="1" ht="12"/>
    <row r="1135" s="154" customFormat="1" ht="12"/>
    <row r="1136" s="154" customFormat="1" ht="12"/>
    <row r="1137" s="154" customFormat="1" ht="12"/>
    <row r="1138" s="154" customFormat="1" ht="12"/>
    <row r="1139" s="154" customFormat="1" ht="12"/>
    <row r="1140" s="154" customFormat="1" ht="12"/>
    <row r="1141" s="154" customFormat="1" ht="12"/>
    <row r="1142" s="154" customFormat="1" ht="12"/>
    <row r="1143" s="154" customFormat="1" ht="12"/>
    <row r="1144" s="154" customFormat="1" ht="12"/>
    <row r="1145" s="154" customFormat="1" ht="12"/>
    <row r="1146" s="154" customFormat="1" ht="12"/>
    <row r="1147" s="154" customFormat="1" ht="12"/>
    <row r="1148" s="154" customFormat="1" ht="12"/>
    <row r="1149" s="154" customFormat="1" ht="12"/>
    <row r="1150" s="154" customFormat="1" ht="12"/>
    <row r="1151" s="154" customFormat="1" ht="12"/>
    <row r="1152" s="154" customFormat="1" ht="12"/>
    <row r="1153" s="154" customFormat="1" ht="12"/>
    <row r="1154" s="154" customFormat="1" ht="12"/>
    <row r="1155" s="154" customFormat="1" ht="12"/>
    <row r="1156" s="154" customFormat="1" ht="12"/>
    <row r="1157" s="154" customFormat="1" ht="12"/>
    <row r="1158" s="154" customFormat="1" ht="12"/>
    <row r="1159" s="154" customFormat="1" ht="12"/>
    <row r="1160" s="154" customFormat="1" ht="12"/>
    <row r="1161" s="154" customFormat="1" ht="12"/>
    <row r="1162" s="154" customFormat="1" ht="12"/>
    <row r="1163" s="154" customFormat="1" ht="12"/>
    <row r="1164" s="154" customFormat="1" ht="12"/>
    <row r="1165" s="154" customFormat="1" ht="12"/>
    <row r="1166" s="154" customFormat="1" ht="12"/>
    <row r="1167" s="154" customFormat="1" ht="12"/>
    <row r="1168" s="154" customFormat="1" ht="12"/>
    <row r="1169" s="154" customFormat="1" ht="12"/>
    <row r="1170" s="154" customFormat="1" ht="12"/>
    <row r="1171" s="154" customFormat="1" ht="12"/>
    <row r="1172" s="154" customFormat="1" ht="12"/>
    <row r="1173" s="154" customFormat="1" ht="12"/>
    <row r="1174" s="154" customFormat="1" ht="12"/>
    <row r="1175" s="154" customFormat="1" ht="12"/>
    <row r="1176" s="154" customFormat="1" ht="12"/>
    <row r="1177" s="154" customFormat="1" ht="12"/>
    <row r="1178" s="154" customFormat="1" ht="12"/>
    <row r="1179" s="154" customFormat="1" ht="12"/>
    <row r="1180" s="154" customFormat="1" ht="12"/>
    <row r="1181" s="154" customFormat="1" ht="12"/>
    <row r="1182" s="154" customFormat="1" ht="12"/>
    <row r="1183" s="154" customFormat="1" ht="12"/>
    <row r="1184" s="154" customFormat="1" ht="12"/>
    <row r="1185" s="154" customFormat="1" ht="12"/>
    <row r="1186" s="154" customFormat="1" ht="12"/>
    <row r="1187" s="154" customFormat="1" ht="12"/>
    <row r="1188" s="154" customFormat="1" ht="12"/>
    <row r="1189" s="154" customFormat="1" ht="12"/>
    <row r="1190" s="154" customFormat="1" ht="12"/>
    <row r="1191" s="154" customFormat="1" ht="12"/>
    <row r="1192" s="154" customFormat="1" ht="12"/>
    <row r="1193" s="154" customFormat="1" ht="12"/>
    <row r="1194" s="154" customFormat="1" ht="12"/>
    <row r="1195" s="154" customFormat="1" ht="12"/>
    <row r="1196" s="154" customFormat="1" ht="12"/>
    <row r="1197" s="154" customFormat="1" ht="12"/>
    <row r="1198" s="154" customFormat="1" ht="12"/>
    <row r="1199" s="154" customFormat="1" ht="12"/>
    <row r="1200" s="154" customFormat="1" ht="12"/>
    <row r="1201" s="154" customFormat="1" ht="12"/>
    <row r="1202" s="154" customFormat="1" ht="12"/>
    <row r="1203" s="154" customFormat="1" ht="12"/>
    <row r="1204" s="154" customFormat="1" ht="12"/>
    <row r="1205" s="154" customFormat="1" ht="12"/>
    <row r="1206" s="154" customFormat="1" ht="12"/>
    <row r="1207" s="154" customFormat="1" ht="12"/>
    <row r="1208" s="154" customFormat="1" ht="12"/>
    <row r="1209" s="154" customFormat="1" ht="12"/>
    <row r="1210" s="154" customFormat="1" ht="12"/>
    <row r="1211" s="154" customFormat="1" ht="12"/>
    <row r="1212" s="154" customFormat="1" ht="12"/>
    <row r="1213" s="154" customFormat="1" ht="12"/>
    <row r="1214" s="154" customFormat="1" ht="12"/>
    <row r="1215" s="154" customFormat="1" ht="12"/>
    <row r="1216" s="154" customFormat="1" ht="12"/>
    <row r="1217" s="154" customFormat="1" ht="12"/>
    <row r="1218" s="154" customFormat="1" ht="12"/>
    <row r="1219" s="154" customFormat="1" ht="12"/>
    <row r="1220" s="154" customFormat="1" ht="12"/>
    <row r="1221" s="154" customFormat="1" ht="12"/>
    <row r="1222" s="154" customFormat="1" ht="12"/>
    <row r="1223" s="154" customFormat="1" ht="12"/>
    <row r="1224" s="154" customFormat="1" ht="12"/>
    <row r="1225" s="154" customFormat="1" ht="12"/>
    <row r="1226" s="154" customFormat="1" ht="12"/>
    <row r="1227" s="154" customFormat="1" ht="12"/>
    <row r="1228" s="154" customFormat="1" ht="12"/>
    <row r="1229" s="154" customFormat="1" ht="12"/>
    <row r="1230" s="154" customFormat="1" ht="12"/>
    <row r="1231" s="154" customFormat="1" ht="12"/>
    <row r="1232" s="154" customFormat="1" ht="12"/>
    <row r="1233" s="154" customFormat="1" ht="12"/>
    <row r="1234" s="154" customFormat="1" ht="12"/>
    <row r="1235" s="154" customFormat="1" ht="12"/>
    <row r="1236" s="154" customFormat="1" ht="12"/>
    <row r="1237" s="154" customFormat="1" ht="12"/>
    <row r="1238" s="154" customFormat="1" ht="12"/>
    <row r="1239" s="154" customFormat="1" ht="12"/>
    <row r="1240" s="154" customFormat="1" ht="12"/>
    <row r="1241" s="154" customFormat="1" ht="12"/>
    <row r="1242" s="154" customFormat="1" ht="12"/>
    <row r="1243" s="154" customFormat="1" ht="12"/>
    <row r="1244" s="154" customFormat="1" ht="12"/>
    <row r="1245" s="154" customFormat="1" ht="12"/>
    <row r="1246" s="154" customFormat="1" ht="12"/>
    <row r="1247" s="154" customFormat="1" ht="12"/>
    <row r="1248" s="154" customFormat="1" ht="12"/>
    <row r="1249" s="154" customFormat="1" ht="12"/>
    <row r="1250" s="154" customFormat="1" ht="12"/>
    <row r="1251" s="154" customFormat="1" ht="12"/>
    <row r="1252" s="154" customFormat="1" ht="12"/>
    <row r="1253" s="154" customFormat="1" ht="12"/>
    <row r="1254" s="154" customFormat="1" ht="12"/>
    <row r="1255" s="154" customFormat="1" ht="12"/>
    <row r="1256" s="154" customFormat="1" ht="12"/>
    <row r="1257" s="154" customFormat="1" ht="12"/>
    <row r="1258" s="154" customFormat="1" ht="12"/>
    <row r="1259" s="154" customFormat="1" ht="12"/>
    <row r="1260" s="154" customFormat="1" ht="12"/>
    <row r="1261" s="154" customFormat="1" ht="12"/>
    <row r="1262" s="154" customFormat="1" ht="12"/>
    <row r="1263" s="154" customFormat="1" ht="12"/>
    <row r="1264" s="154" customFormat="1" ht="12"/>
    <row r="1265" s="154" customFormat="1" ht="12"/>
    <row r="1266" s="154" customFormat="1" ht="12"/>
    <row r="1267" s="154" customFormat="1" ht="12"/>
    <row r="1268" s="154" customFormat="1" ht="12"/>
    <row r="1269" s="154" customFormat="1" ht="12"/>
    <row r="1270" s="154" customFormat="1" ht="12"/>
    <row r="1271" s="154" customFormat="1" ht="12"/>
    <row r="1272" s="154" customFormat="1" ht="12"/>
    <row r="1273" s="154" customFormat="1" ht="12"/>
    <row r="1274" s="154" customFormat="1" ht="12"/>
    <row r="1275" s="154" customFormat="1" ht="12"/>
    <row r="1276" s="154" customFormat="1" ht="12"/>
    <row r="1277" s="154" customFormat="1" ht="12"/>
    <row r="1278" s="154" customFormat="1" ht="12"/>
    <row r="1279" s="154" customFormat="1" ht="12"/>
    <row r="1280" s="154" customFormat="1" ht="12"/>
    <row r="1281" s="154" customFormat="1" ht="12"/>
    <row r="1282" s="154" customFormat="1" ht="12"/>
    <row r="1283" s="154" customFormat="1" ht="12"/>
    <row r="1284" s="154" customFormat="1" ht="12"/>
    <row r="1285" s="154" customFormat="1" ht="12"/>
    <row r="1286" s="154" customFormat="1" ht="12"/>
    <row r="1287" s="154" customFormat="1" ht="12"/>
    <row r="1288" s="154" customFormat="1" ht="12"/>
    <row r="1289" s="154" customFormat="1" ht="12"/>
    <row r="1290" s="154" customFormat="1" ht="12"/>
    <row r="1291" s="154" customFormat="1" ht="12"/>
    <row r="1292" s="154" customFormat="1" ht="12"/>
    <row r="1293" s="154" customFormat="1" ht="12"/>
    <row r="1294" s="154" customFormat="1" ht="12"/>
    <row r="1295" s="154" customFormat="1" ht="12"/>
    <row r="1296" s="154" customFormat="1" ht="12"/>
    <row r="1297" s="154" customFormat="1" ht="12"/>
    <row r="1298" s="154" customFormat="1" ht="12"/>
    <row r="1299" s="154" customFormat="1" ht="12"/>
    <row r="1300" s="154" customFormat="1" ht="12"/>
    <row r="1301" s="154" customFormat="1" ht="12"/>
    <row r="1302" s="154" customFormat="1" ht="12"/>
    <row r="1303" s="154" customFormat="1" ht="12"/>
    <row r="1304" s="154" customFormat="1" ht="12"/>
    <row r="1305" s="154" customFormat="1" ht="12"/>
    <row r="1306" s="154" customFormat="1" ht="12"/>
    <row r="1307" s="154" customFormat="1" ht="12"/>
    <row r="1308" s="154" customFormat="1" ht="12"/>
    <row r="1309" s="154" customFormat="1" ht="12"/>
    <row r="1310" s="154" customFormat="1" ht="12"/>
    <row r="1311" s="154" customFormat="1" ht="12"/>
    <row r="1312" s="154" customFormat="1" ht="12"/>
    <row r="1313" s="154" customFormat="1" ht="12"/>
    <row r="1314" s="154" customFormat="1" ht="12"/>
    <row r="1315" s="154" customFormat="1" ht="12"/>
    <row r="1316" s="154" customFormat="1" ht="12"/>
    <row r="1317" s="154" customFormat="1" ht="12"/>
    <row r="1318" s="154" customFormat="1" ht="12"/>
    <row r="1319" s="154" customFormat="1" ht="12"/>
    <row r="1320" s="154" customFormat="1" ht="12"/>
    <row r="1321" s="154" customFormat="1" ht="12"/>
    <row r="1322" s="154" customFormat="1" ht="12"/>
    <row r="1323" s="154" customFormat="1" ht="12"/>
    <row r="1324" s="154" customFormat="1" ht="12"/>
    <row r="1325" s="154" customFormat="1" ht="12"/>
    <row r="1326" s="154" customFormat="1" ht="12"/>
    <row r="1327" s="154" customFormat="1" ht="12"/>
    <row r="1328" s="154" customFormat="1" ht="12"/>
    <row r="1329" s="154" customFormat="1" ht="12"/>
    <row r="1330" s="154" customFormat="1" ht="12"/>
    <row r="1331" s="154" customFormat="1" ht="12"/>
    <row r="1332" s="154" customFormat="1" ht="12"/>
    <row r="1333" s="154" customFormat="1" ht="12"/>
    <row r="1334" s="154" customFormat="1" ht="12"/>
    <row r="1335" s="154" customFormat="1" ht="12"/>
    <row r="1336" s="154" customFormat="1" ht="12"/>
    <row r="1337" s="154" customFormat="1" ht="12"/>
    <row r="1338" s="154" customFormat="1" ht="12"/>
    <row r="1339" s="154" customFormat="1" ht="12"/>
    <row r="1340" s="154" customFormat="1" ht="12"/>
    <row r="1341" s="154" customFormat="1" ht="12"/>
    <row r="1342" s="154" customFormat="1" ht="12"/>
    <row r="1343" s="154" customFormat="1" ht="12"/>
    <row r="1344" s="154" customFormat="1" ht="12"/>
    <row r="1345" s="154" customFormat="1" ht="12"/>
    <row r="1346" s="154" customFormat="1" ht="12"/>
    <row r="1347" s="154" customFormat="1" ht="12"/>
    <row r="1348" s="154" customFormat="1" ht="12"/>
    <row r="1349" s="154" customFormat="1" ht="12"/>
    <row r="1350" s="154" customFormat="1" ht="12"/>
    <row r="1351" s="154" customFormat="1" ht="12"/>
    <row r="1352" s="154" customFormat="1" ht="12"/>
    <row r="1353" s="154" customFormat="1" ht="12"/>
    <row r="1354" s="154" customFormat="1" ht="12"/>
    <row r="1355" s="154" customFormat="1" ht="12"/>
    <row r="1356" s="154" customFormat="1" ht="12"/>
    <row r="1357" s="154" customFormat="1" ht="12"/>
    <row r="1358" s="154" customFormat="1" ht="12"/>
    <row r="1359" s="154" customFormat="1" ht="12"/>
    <row r="1360" s="154" customFormat="1" ht="12"/>
    <row r="1361" s="154" customFormat="1" ht="12"/>
    <row r="1362" s="154" customFormat="1" ht="12"/>
    <row r="1363" s="154" customFormat="1" ht="12"/>
    <row r="1364" s="154" customFormat="1" ht="12"/>
    <row r="1365" s="154" customFormat="1" ht="12"/>
    <row r="1366" s="154" customFormat="1" ht="12"/>
    <row r="1367" s="154" customFormat="1" ht="12"/>
    <row r="1368" s="154" customFormat="1" ht="12"/>
    <row r="1369" s="154" customFormat="1" ht="12"/>
    <row r="1370" s="154" customFormat="1" ht="12"/>
    <row r="1371" s="154" customFormat="1" ht="12"/>
    <row r="1372" s="154" customFormat="1" ht="12"/>
    <row r="1373" s="154" customFormat="1" ht="12"/>
    <row r="1374" s="154" customFormat="1" ht="12"/>
    <row r="1375" s="154" customFormat="1" ht="12"/>
    <row r="1376" s="154" customFormat="1" ht="12"/>
    <row r="1377" s="154" customFormat="1" ht="12"/>
    <row r="1378" s="154" customFormat="1" ht="12"/>
    <row r="1379" s="154" customFormat="1" ht="12"/>
    <row r="1380" s="154" customFormat="1" ht="12"/>
    <row r="1381" s="154" customFormat="1" ht="12"/>
    <row r="1382" s="154" customFormat="1" ht="12"/>
    <row r="1383" s="154" customFormat="1" ht="12"/>
    <row r="1384" s="154" customFormat="1" ht="12"/>
    <row r="1385" s="154" customFormat="1" ht="12"/>
    <row r="1386" s="154" customFormat="1" ht="12"/>
    <row r="1387" s="154" customFormat="1" ht="12"/>
    <row r="1388" s="154" customFormat="1" ht="12"/>
    <row r="1389" s="154" customFormat="1" ht="12"/>
    <row r="1390" s="154" customFormat="1" ht="12"/>
    <row r="1391" s="154" customFormat="1" ht="12"/>
    <row r="1392" s="154" customFormat="1" ht="12"/>
    <row r="1393" s="154" customFormat="1" ht="12"/>
    <row r="1394" s="154" customFormat="1" ht="12"/>
    <row r="1395" s="154" customFormat="1" ht="12"/>
    <row r="1396" s="154" customFormat="1" ht="12"/>
    <row r="1397" s="154" customFormat="1" ht="12"/>
    <row r="1398" s="154" customFormat="1" ht="12"/>
    <row r="1399" s="154" customFormat="1" ht="12"/>
    <row r="1400" s="154" customFormat="1" ht="12"/>
    <row r="1401" s="154" customFormat="1" ht="12"/>
    <row r="1402" s="154" customFormat="1" ht="12"/>
    <row r="1403" s="154" customFormat="1" ht="12"/>
    <row r="1404" s="154" customFormat="1" ht="12"/>
    <row r="1405" s="154" customFormat="1" ht="12"/>
    <row r="1406" s="154" customFormat="1" ht="12"/>
    <row r="1407" s="154" customFormat="1" ht="12"/>
    <row r="1408" s="154" customFormat="1" ht="12"/>
    <row r="1409" s="154" customFormat="1" ht="12"/>
    <row r="1410" s="154" customFormat="1" ht="12"/>
    <row r="1411" s="154" customFormat="1" ht="12"/>
    <row r="1412" s="154" customFormat="1" ht="12"/>
    <row r="1413" s="154" customFormat="1" ht="12"/>
    <row r="1414" s="154" customFormat="1" ht="12"/>
    <row r="1415" s="154" customFormat="1" ht="12"/>
    <row r="1416" s="154" customFormat="1" ht="12"/>
    <row r="1417" s="154" customFormat="1" ht="12"/>
    <row r="1418" s="154" customFormat="1" ht="12"/>
    <row r="1419" s="154" customFormat="1" ht="12"/>
    <row r="1420" s="154" customFormat="1" ht="12"/>
    <row r="1421" s="154" customFormat="1" ht="12"/>
    <row r="1422" s="154" customFormat="1" ht="12"/>
    <row r="1423" s="154" customFormat="1" ht="12"/>
    <row r="1424" s="154" customFormat="1" ht="12"/>
    <row r="1425" s="154" customFormat="1" ht="12"/>
    <row r="1426" s="154" customFormat="1" ht="12"/>
    <row r="1427" s="154" customFormat="1" ht="12"/>
    <row r="1428" s="154" customFormat="1" ht="12"/>
    <row r="1429" s="154" customFormat="1" ht="12"/>
    <row r="1430" s="154" customFormat="1" ht="12"/>
    <row r="1431" s="154" customFormat="1" ht="12"/>
    <row r="1432" s="154" customFormat="1" ht="12"/>
    <row r="1433" s="154" customFormat="1" ht="12"/>
    <row r="1434" s="154" customFormat="1" ht="12"/>
    <row r="1435" s="154" customFormat="1" ht="12"/>
    <row r="1436" s="154" customFormat="1" ht="12"/>
    <row r="1437" s="154" customFormat="1" ht="12"/>
    <row r="1438" s="154" customFormat="1" ht="12"/>
    <row r="1439" s="154" customFormat="1" ht="12"/>
    <row r="1440" s="154" customFormat="1" ht="12"/>
    <row r="1441" s="154" customFormat="1" ht="12"/>
    <row r="1442" s="154" customFormat="1" ht="12"/>
    <row r="1443" s="154" customFormat="1" ht="12"/>
    <row r="1444" s="154" customFormat="1" ht="12"/>
    <row r="1445" s="154" customFormat="1" ht="12"/>
    <row r="1446" s="154" customFormat="1" ht="12"/>
    <row r="1447" s="154" customFormat="1" ht="12"/>
    <row r="1448" s="154" customFormat="1" ht="12"/>
    <row r="1449" s="154" customFormat="1" ht="12"/>
    <row r="1450" s="154" customFormat="1" ht="12"/>
    <row r="1451" s="154" customFormat="1" ht="12"/>
    <row r="1452" s="154" customFormat="1" ht="12"/>
    <row r="1453" s="154" customFormat="1" ht="12"/>
    <row r="1454" s="154" customFormat="1" ht="12"/>
    <row r="1455" s="154" customFormat="1" ht="12"/>
    <row r="1456" s="154" customFormat="1" ht="12"/>
    <row r="1457" s="154" customFormat="1" ht="12"/>
    <row r="1458" s="154" customFormat="1" ht="12"/>
    <row r="1459" s="154" customFormat="1" ht="12"/>
    <row r="1460" s="154" customFormat="1" ht="12"/>
    <row r="1461" s="154" customFormat="1" ht="12"/>
    <row r="1462" s="154" customFormat="1" ht="12"/>
    <row r="1463" s="154" customFormat="1" ht="12"/>
    <row r="1464" s="154" customFormat="1" ht="12"/>
    <row r="1465" s="154" customFormat="1" ht="12"/>
    <row r="1466" s="154" customFormat="1" ht="12"/>
    <row r="1467" s="154" customFormat="1" ht="12"/>
    <row r="1468" s="154" customFormat="1" ht="12"/>
    <row r="1469" s="154" customFormat="1" ht="12"/>
    <row r="1470" s="154" customFormat="1" ht="12"/>
    <row r="1471" s="154" customFormat="1" ht="12"/>
    <row r="1472" s="154" customFormat="1" ht="12"/>
    <row r="1473" s="154" customFormat="1" ht="12"/>
    <row r="1474" s="154" customFormat="1" ht="12"/>
    <row r="1475" s="154" customFormat="1" ht="12"/>
    <row r="1476" s="154" customFormat="1" ht="12"/>
    <row r="1477" s="154" customFormat="1" ht="12"/>
    <row r="1478" s="154" customFormat="1" ht="12"/>
    <row r="1479" s="154" customFormat="1" ht="12"/>
    <row r="1480" s="154" customFormat="1" ht="12"/>
    <row r="1481" s="154" customFormat="1" ht="12"/>
    <row r="1482" s="154" customFormat="1" ht="12"/>
    <row r="1483" s="154" customFormat="1" ht="12"/>
    <row r="1484" s="154" customFormat="1" ht="12"/>
    <row r="1485" s="154" customFormat="1" ht="12"/>
    <row r="1486" s="154" customFormat="1" ht="12"/>
    <row r="1487" s="154" customFormat="1" ht="12"/>
    <row r="1488" s="154" customFormat="1" ht="12"/>
    <row r="1489" s="154" customFormat="1" ht="12"/>
    <row r="1490" s="154" customFormat="1" ht="12"/>
    <row r="1491" s="154" customFormat="1" ht="12"/>
    <row r="1492" s="154" customFormat="1" ht="12"/>
    <row r="1493" s="154" customFormat="1" ht="12"/>
    <row r="1494" s="154" customFormat="1" ht="12"/>
    <row r="1495" s="154" customFormat="1" ht="12"/>
    <row r="1496" s="154" customFormat="1" ht="12"/>
    <row r="1497" s="154" customFormat="1" ht="12"/>
    <row r="1498" s="154" customFormat="1" ht="12"/>
    <row r="1499" s="154" customFormat="1" ht="12"/>
    <row r="1500" s="154" customFormat="1" ht="12"/>
    <row r="1501" s="154" customFormat="1" ht="12"/>
    <row r="1502" s="154" customFormat="1" ht="12"/>
    <row r="1503" s="154" customFormat="1" ht="12"/>
    <row r="1504" s="154" customFormat="1" ht="12"/>
    <row r="1505" s="154" customFormat="1" ht="12"/>
    <row r="1506" s="154" customFormat="1" ht="12"/>
    <row r="1507" s="154" customFormat="1" ht="12"/>
    <row r="1508" s="154" customFormat="1" ht="12"/>
    <row r="1509" s="154" customFormat="1" ht="12"/>
    <row r="1510" s="154" customFormat="1" ht="12"/>
    <row r="1511" s="154" customFormat="1" ht="12"/>
    <row r="1512" s="154" customFormat="1" ht="12"/>
    <row r="1513" s="154" customFormat="1" ht="12"/>
    <row r="1514" s="154" customFormat="1" ht="12"/>
    <row r="1515" s="154" customFormat="1" ht="12"/>
    <row r="1516" s="154" customFormat="1" ht="12"/>
    <row r="1517" s="154" customFormat="1" ht="12"/>
    <row r="1518" s="154" customFormat="1" ht="12"/>
    <row r="1519" s="154" customFormat="1" ht="12"/>
    <row r="1520" s="154" customFormat="1" ht="12"/>
    <row r="1521" s="154" customFormat="1" ht="12"/>
    <row r="1522" s="154" customFormat="1" ht="12"/>
    <row r="1523" s="154" customFormat="1" ht="12"/>
    <row r="1524" s="154" customFormat="1" ht="12"/>
    <row r="1525" s="154" customFormat="1" ht="12"/>
    <row r="1526" s="154" customFormat="1" ht="12"/>
    <row r="1527" s="154" customFormat="1" ht="12"/>
    <row r="1528" s="154" customFormat="1" ht="12"/>
    <row r="1529" s="154" customFormat="1" ht="12"/>
    <row r="1530" s="154" customFormat="1" ht="12"/>
    <row r="1531" s="154" customFormat="1" ht="12"/>
    <row r="1532" s="154" customFormat="1" ht="12"/>
    <row r="1533" s="154" customFormat="1" ht="12"/>
    <row r="1534" s="154" customFormat="1" ht="12"/>
    <row r="1535" s="154" customFormat="1" ht="12"/>
    <row r="1536" s="154" customFormat="1" ht="12"/>
    <row r="1537" s="154" customFormat="1" ht="12"/>
    <row r="1538" s="154" customFormat="1" ht="12"/>
    <row r="1539" s="154" customFormat="1" ht="12"/>
    <row r="1540" s="154" customFormat="1" ht="12"/>
    <row r="1541" s="154" customFormat="1" ht="12"/>
    <row r="1542" s="154" customFormat="1" ht="12"/>
    <row r="1543" s="154" customFormat="1" ht="12"/>
    <row r="1544" s="154" customFormat="1" ht="12"/>
    <row r="1545" s="154" customFormat="1" ht="12"/>
    <row r="1546" s="154" customFormat="1" ht="12"/>
    <row r="1547" s="154" customFormat="1" ht="12"/>
    <row r="1548" s="154" customFormat="1" ht="12"/>
    <row r="1549" s="154" customFormat="1" ht="12"/>
    <row r="1550" s="154" customFormat="1" ht="12"/>
    <row r="1551" s="154" customFormat="1" ht="12"/>
    <row r="1552" s="154" customFormat="1" ht="12"/>
    <row r="1553" s="154" customFormat="1" ht="12"/>
    <row r="1554" s="154" customFormat="1" ht="12"/>
    <row r="1555" s="154" customFormat="1" ht="12"/>
    <row r="1556" s="154" customFormat="1" ht="12"/>
    <row r="1557" s="154" customFormat="1" ht="12"/>
    <row r="1558" s="154" customFormat="1" ht="12"/>
    <row r="1559" s="154" customFormat="1" ht="12"/>
    <row r="1560" s="154" customFormat="1" ht="12"/>
    <row r="1561" s="154" customFormat="1" ht="12"/>
    <row r="1562" s="154" customFormat="1" ht="12"/>
    <row r="1563" s="154" customFormat="1" ht="12"/>
    <row r="1564" s="154" customFormat="1" ht="12"/>
    <row r="1565" s="154" customFormat="1" ht="12"/>
    <row r="1566" s="154" customFormat="1" ht="12"/>
    <row r="1567" s="154" customFormat="1" ht="12"/>
    <row r="1568" s="154" customFormat="1" ht="12"/>
    <row r="1569" s="154" customFormat="1" ht="12"/>
    <row r="1570" s="154" customFormat="1" ht="12"/>
    <row r="1571" s="154" customFormat="1" ht="12"/>
    <row r="1572" s="154" customFormat="1" ht="12"/>
    <row r="1573" s="154" customFormat="1" ht="12"/>
    <row r="1574" s="154" customFormat="1" ht="12"/>
    <row r="1575" s="154" customFormat="1" ht="12"/>
    <row r="1576" s="154" customFormat="1" ht="12"/>
    <row r="1577" s="154" customFormat="1" ht="12"/>
    <row r="1578" s="154" customFormat="1" ht="12"/>
    <row r="1579" s="154" customFormat="1" ht="12"/>
    <row r="1580" s="154" customFormat="1" ht="12"/>
    <row r="1581" s="154" customFormat="1" ht="12"/>
    <row r="1582" s="154" customFormat="1" ht="12"/>
    <row r="1583" s="154" customFormat="1" ht="12"/>
    <row r="1584" s="154" customFormat="1" ht="12"/>
    <row r="1585" s="154" customFormat="1" ht="12"/>
    <row r="1586" s="154" customFormat="1" ht="12"/>
    <row r="1587" s="154" customFormat="1" ht="12"/>
    <row r="1588" s="154" customFormat="1" ht="12"/>
    <row r="1589" s="154" customFormat="1" ht="12"/>
    <row r="1590" s="154" customFormat="1" ht="12"/>
    <row r="1591" s="154" customFormat="1" ht="12"/>
    <row r="1592" s="154" customFormat="1" ht="12"/>
    <row r="1593" s="154" customFormat="1" ht="12"/>
    <row r="1594" s="154" customFormat="1" ht="12"/>
    <row r="1595" s="154" customFormat="1" ht="12"/>
    <row r="1596" s="154" customFormat="1" ht="12"/>
    <row r="1597" s="154" customFormat="1" ht="12"/>
    <row r="1598" s="154" customFormat="1" ht="12"/>
    <row r="1599" s="154" customFormat="1" ht="12"/>
    <row r="1600" s="154" customFormat="1" ht="12"/>
    <row r="1601" s="154" customFormat="1" ht="12"/>
    <row r="1602" s="154" customFormat="1" ht="12"/>
    <row r="1603" s="154" customFormat="1" ht="12"/>
    <row r="1604" s="154" customFormat="1" ht="12"/>
    <row r="1605" s="154" customFormat="1" ht="12"/>
    <row r="1606" s="154" customFormat="1" ht="12"/>
    <row r="1607" s="154" customFormat="1" ht="12"/>
    <row r="1608" s="154" customFormat="1" ht="12"/>
    <row r="1609" s="154" customFormat="1" ht="12"/>
    <row r="1610" s="154" customFormat="1" ht="12"/>
    <row r="1611" s="154" customFormat="1" ht="12"/>
    <row r="1612" s="154" customFormat="1" ht="12"/>
    <row r="1613" s="154" customFormat="1" ht="12"/>
    <row r="1614" s="154" customFormat="1" ht="12"/>
    <row r="1615" s="154" customFormat="1" ht="12"/>
    <row r="1616" s="154" customFormat="1" ht="12"/>
    <row r="1617" s="154" customFormat="1" ht="12"/>
    <row r="1618" s="154" customFormat="1" ht="12"/>
    <row r="1619" s="154" customFormat="1" ht="12"/>
    <row r="1620" s="154" customFormat="1" ht="12"/>
    <row r="1621" s="154" customFormat="1" ht="12"/>
    <row r="1622" s="154" customFormat="1" ht="12"/>
    <row r="1623" s="154" customFormat="1" ht="12"/>
    <row r="1624" s="154" customFormat="1" ht="12"/>
    <row r="1625" s="154" customFormat="1" ht="12"/>
    <row r="1626" s="154" customFormat="1" ht="12"/>
    <row r="1627" s="154" customFormat="1" ht="12"/>
    <row r="1628" s="154" customFormat="1" ht="12"/>
    <row r="1629" s="154" customFormat="1" ht="12"/>
    <row r="1630" s="154" customFormat="1" ht="12"/>
    <row r="1631" s="154" customFormat="1" ht="12"/>
    <row r="1632" s="154" customFormat="1" ht="12"/>
    <row r="1633" s="154" customFormat="1" ht="12"/>
    <row r="1634" s="154" customFormat="1" ht="12"/>
    <row r="1635" s="154" customFormat="1" ht="12"/>
    <row r="1636" s="154" customFormat="1" ht="12"/>
    <row r="1637" s="154" customFormat="1" ht="12"/>
    <row r="1638" s="154" customFormat="1" ht="12"/>
    <row r="1639" s="154" customFormat="1" ht="12"/>
    <row r="1640" s="154" customFormat="1" ht="12"/>
    <row r="1641" s="154" customFormat="1" ht="12"/>
    <row r="1642" s="154" customFormat="1" ht="12"/>
    <row r="1643" s="154" customFormat="1" ht="12"/>
    <row r="1644" s="154" customFormat="1" ht="12"/>
    <row r="1645" s="154" customFormat="1" ht="12"/>
    <row r="1646" s="154" customFormat="1" ht="12"/>
    <row r="1647" s="154" customFormat="1" ht="12"/>
    <row r="1648" s="154" customFormat="1" ht="12"/>
    <row r="1649" s="154" customFormat="1" ht="12"/>
    <row r="1650" s="154" customFormat="1" ht="12"/>
    <row r="1651" s="154" customFormat="1" ht="12"/>
    <row r="1652" s="154" customFormat="1" ht="12"/>
    <row r="1653" s="154" customFormat="1" ht="12"/>
    <row r="1654" s="154" customFormat="1" ht="12"/>
    <row r="1655" s="154" customFormat="1" ht="12"/>
    <row r="1656" s="154" customFormat="1" ht="12"/>
    <row r="1657" s="154" customFormat="1" ht="12"/>
    <row r="1658" s="154" customFormat="1" ht="12"/>
    <row r="1659" s="154" customFormat="1" ht="12"/>
    <row r="1660" s="154" customFormat="1" ht="12"/>
    <row r="1661" s="154" customFormat="1" ht="12"/>
    <row r="1662" s="154" customFormat="1" ht="12"/>
    <row r="1663" s="154" customFormat="1" ht="12"/>
    <row r="1664" s="154" customFormat="1" ht="12"/>
    <row r="1665" s="154" customFormat="1" ht="12"/>
    <row r="1666" s="154" customFormat="1" ht="12"/>
    <row r="1667" s="154" customFormat="1" ht="12"/>
    <row r="1668" s="154" customFormat="1" ht="12"/>
    <row r="1669" s="154" customFormat="1" ht="12"/>
    <row r="1670" s="154" customFormat="1" ht="12"/>
    <row r="1671" s="154" customFormat="1" ht="12"/>
    <row r="1672" s="154" customFormat="1" ht="12"/>
    <row r="1673" s="154" customFormat="1" ht="12"/>
    <row r="1674" s="154" customFormat="1" ht="12"/>
    <row r="1675" s="154" customFormat="1" ht="12"/>
    <row r="1676" s="154" customFormat="1" ht="12"/>
    <row r="1677" s="154" customFormat="1" ht="12"/>
    <row r="1678" s="154" customFormat="1" ht="12"/>
    <row r="1679" s="154" customFormat="1" ht="12"/>
    <row r="1680" s="154" customFormat="1" ht="12"/>
    <row r="1681" s="154" customFormat="1" ht="12"/>
    <row r="1682" s="154" customFormat="1" ht="12"/>
    <row r="1683" s="154" customFormat="1" ht="12"/>
    <row r="1684" s="154" customFormat="1" ht="12"/>
    <row r="1685" s="154" customFormat="1" ht="12"/>
    <row r="1686" s="154" customFormat="1" ht="12"/>
    <row r="1687" s="154" customFormat="1" ht="12"/>
    <row r="1688" s="154" customFormat="1" ht="12"/>
    <row r="1689" s="154" customFormat="1" ht="12"/>
    <row r="1690" s="154" customFormat="1" ht="12"/>
    <row r="1691" s="154" customFormat="1" ht="12"/>
    <row r="1692" s="154" customFormat="1" ht="12"/>
    <row r="1693" s="154" customFormat="1" ht="12"/>
    <row r="1694" s="154" customFormat="1" ht="12"/>
    <row r="1695" s="154" customFormat="1" ht="12"/>
    <row r="1696" s="154" customFormat="1" ht="12"/>
    <row r="1697" s="154" customFormat="1" ht="12"/>
    <row r="1698" s="154" customFormat="1" ht="12"/>
    <row r="1699" s="154" customFormat="1" ht="12"/>
    <row r="1700" s="154" customFormat="1" ht="12"/>
    <row r="1701" s="154" customFormat="1" ht="12"/>
    <row r="1702" s="154" customFormat="1" ht="12"/>
    <row r="1703" s="154" customFormat="1" ht="12"/>
    <row r="1704" s="154" customFormat="1" ht="12"/>
    <row r="1705" s="154" customFormat="1" ht="12"/>
    <row r="1706" s="154" customFormat="1" ht="12"/>
    <row r="1707" s="154" customFormat="1" ht="12"/>
    <row r="1708" s="154" customFormat="1" ht="12"/>
    <row r="1709" s="154" customFormat="1" ht="12"/>
    <row r="1710" s="154" customFormat="1" ht="12"/>
    <row r="1711" s="154" customFormat="1" ht="12"/>
    <row r="1712" s="154" customFormat="1" ht="12"/>
    <row r="1713" s="154" customFormat="1" ht="12"/>
    <row r="1714" s="154" customFormat="1" ht="12"/>
    <row r="1715" s="154" customFormat="1" ht="12"/>
    <row r="1716" s="154" customFormat="1" ht="12"/>
    <row r="1717" s="154" customFormat="1" ht="12"/>
    <row r="1718" s="154" customFormat="1" ht="12"/>
    <row r="1719" s="154" customFormat="1" ht="12"/>
    <row r="1720" s="154" customFormat="1" ht="12"/>
    <row r="1721" s="154" customFormat="1" ht="12"/>
    <row r="1722" s="154" customFormat="1" ht="12"/>
    <row r="1723" s="154" customFormat="1" ht="12"/>
    <row r="1724" s="154" customFormat="1" ht="12"/>
    <row r="1725" s="154" customFormat="1" ht="12"/>
    <row r="1726" s="154" customFormat="1" ht="12"/>
    <row r="1727" s="154" customFormat="1" ht="12"/>
    <row r="1728" s="154" customFormat="1" ht="12"/>
    <row r="1729" s="154" customFormat="1" ht="12"/>
    <row r="1730" s="154" customFormat="1" ht="12"/>
    <row r="1731" s="154" customFormat="1" ht="12"/>
    <row r="1732" s="154" customFormat="1" ht="12"/>
    <row r="1733" s="154" customFormat="1" ht="12"/>
    <row r="1734" s="154" customFormat="1" ht="12"/>
    <row r="1735" s="154" customFormat="1" ht="12"/>
    <row r="1736" s="154" customFormat="1" ht="12"/>
    <row r="1737" s="154" customFormat="1" ht="12"/>
    <row r="1738" s="154" customFormat="1" ht="12"/>
    <row r="1739" s="154" customFormat="1" ht="12"/>
    <row r="1740" s="154" customFormat="1" ht="12"/>
    <row r="1741" s="154" customFormat="1" ht="12"/>
    <row r="1742" s="154" customFormat="1" ht="12"/>
    <row r="1743" s="154" customFormat="1" ht="12"/>
    <row r="1744" s="154" customFormat="1" ht="12"/>
    <row r="1745" s="154" customFormat="1" ht="12"/>
    <row r="1746" s="154" customFormat="1" ht="12"/>
    <row r="1747" s="154" customFormat="1" ht="12"/>
    <row r="1748" s="154" customFormat="1" ht="12"/>
    <row r="1749" s="154" customFormat="1" ht="12"/>
    <row r="1750" s="154" customFormat="1" ht="12"/>
    <row r="1751" s="154" customFormat="1" ht="12"/>
    <row r="1752" s="154" customFormat="1" ht="12"/>
    <row r="1753" s="154" customFormat="1" ht="12"/>
    <row r="1754" s="154" customFormat="1" ht="12"/>
    <row r="1755" s="154" customFormat="1" ht="12"/>
    <row r="1756" s="154" customFormat="1" ht="12"/>
    <row r="1757" s="154" customFormat="1" ht="12"/>
    <row r="1758" s="154" customFormat="1" ht="12"/>
    <row r="1759" s="154" customFormat="1" ht="12"/>
    <row r="1760" s="154" customFormat="1" ht="12"/>
    <row r="1761" s="154" customFormat="1" ht="12"/>
    <row r="1762" s="154" customFormat="1" ht="12"/>
    <row r="1763" s="154" customFormat="1" ht="12"/>
    <row r="1764" s="154" customFormat="1" ht="12"/>
    <row r="1765" s="154" customFormat="1" ht="12"/>
    <row r="1766" s="154" customFormat="1" ht="12"/>
    <row r="1767" s="154" customFormat="1" ht="12"/>
    <row r="1768" s="154" customFormat="1" ht="12"/>
    <row r="1769" s="154" customFormat="1" ht="12"/>
    <row r="1770" s="154" customFormat="1" ht="12"/>
    <row r="1771" s="154" customFormat="1" ht="12"/>
    <row r="1772" s="154" customFormat="1" ht="12"/>
    <row r="1773" s="154" customFormat="1" ht="12"/>
    <row r="1774" s="154" customFormat="1" ht="12"/>
    <row r="1775" s="154" customFormat="1" ht="12"/>
    <row r="1776" s="154" customFormat="1" ht="12"/>
    <row r="1777" s="154" customFormat="1" ht="12"/>
    <row r="1778" s="154" customFormat="1" ht="12"/>
    <row r="1779" s="154" customFormat="1" ht="12"/>
    <row r="1780" s="154" customFormat="1" ht="12"/>
    <row r="1781" s="154" customFormat="1" ht="12"/>
    <row r="1782" s="154" customFormat="1" ht="12"/>
    <row r="1783" s="154" customFormat="1" ht="12"/>
    <row r="1784" s="154" customFormat="1" ht="12"/>
    <row r="1785" s="154" customFormat="1" ht="12"/>
    <row r="1786" s="154" customFormat="1" ht="12"/>
    <row r="1787" s="154" customFormat="1" ht="12"/>
    <row r="1788" s="154" customFormat="1" ht="12"/>
    <row r="1789" s="154" customFormat="1" ht="12"/>
    <row r="1790" s="154" customFormat="1" ht="12"/>
    <row r="1791" s="154" customFormat="1" ht="12"/>
    <row r="1792" s="154" customFormat="1" ht="12"/>
    <row r="1793" s="154" customFormat="1" ht="12"/>
    <row r="1794" s="154" customFormat="1" ht="12"/>
    <row r="1795" s="154" customFormat="1" ht="12"/>
    <row r="1796" s="154" customFormat="1" ht="12"/>
    <row r="1797" s="154" customFormat="1" ht="12"/>
    <row r="1798" s="154" customFormat="1" ht="12"/>
    <row r="1799" s="154" customFormat="1" ht="12"/>
    <row r="1800" s="154" customFormat="1" ht="12"/>
    <row r="1801" s="154" customFormat="1" ht="12"/>
    <row r="1802" s="154" customFormat="1" ht="12"/>
    <row r="1803" s="154" customFormat="1" ht="12"/>
    <row r="1804" s="154" customFormat="1" ht="12"/>
    <row r="1805" s="154" customFormat="1" ht="12"/>
    <row r="1806" s="154" customFormat="1" ht="12"/>
    <row r="1807" s="154" customFormat="1" ht="12"/>
    <row r="1808" s="154" customFormat="1" ht="12"/>
    <row r="1809" s="154" customFormat="1" ht="12"/>
    <row r="1810" s="154" customFormat="1" ht="12"/>
    <row r="1811" s="154" customFormat="1" ht="12"/>
    <row r="1812" s="154" customFormat="1" ht="12"/>
    <row r="1813" s="154" customFormat="1" ht="12"/>
    <row r="1814" s="154" customFormat="1" ht="12"/>
    <row r="1815" s="154" customFormat="1" ht="12"/>
    <row r="1816" s="154" customFormat="1" ht="12"/>
    <row r="1817" s="154" customFormat="1" ht="12"/>
    <row r="1818" s="154" customFormat="1" ht="12"/>
    <row r="1819" s="154" customFormat="1" ht="12"/>
    <row r="1820" s="154" customFormat="1" ht="12"/>
    <row r="1821" s="154" customFormat="1" ht="12"/>
    <row r="1822" s="154" customFormat="1" ht="12"/>
    <row r="1823" s="154" customFormat="1" ht="12"/>
    <row r="1824" s="154" customFormat="1" ht="12"/>
    <row r="1825" s="154" customFormat="1" ht="12"/>
    <row r="1826" s="154" customFormat="1" ht="12"/>
    <row r="1827" s="154" customFormat="1" ht="12"/>
    <row r="1828" s="154" customFormat="1" ht="12"/>
    <row r="1829" s="154" customFormat="1" ht="12"/>
    <row r="1830" s="154" customFormat="1" ht="12"/>
    <row r="1831" s="154" customFormat="1" ht="12"/>
    <row r="1832" s="154" customFormat="1" ht="12"/>
    <row r="1833" s="154" customFormat="1" ht="12"/>
    <row r="1834" s="154" customFormat="1" ht="12"/>
    <row r="1835" s="154" customFormat="1" ht="12"/>
    <row r="1836" s="154" customFormat="1" ht="12"/>
    <row r="1837" s="154" customFormat="1" ht="12"/>
    <row r="1838" s="154" customFormat="1" ht="12"/>
    <row r="1839" s="154" customFormat="1" ht="12"/>
    <row r="1840" s="154" customFormat="1" ht="12"/>
    <row r="1841" s="154" customFormat="1" ht="12"/>
    <row r="1842" s="154" customFormat="1" ht="12"/>
    <row r="1843" s="154" customFormat="1" ht="12"/>
    <row r="1844" s="154" customFormat="1" ht="12"/>
    <row r="1845" s="154" customFormat="1" ht="12"/>
    <row r="1846" s="154" customFormat="1" ht="12"/>
    <row r="1847" s="154" customFormat="1" ht="12"/>
    <row r="1848" s="154" customFormat="1" ht="12"/>
    <row r="1849" s="154" customFormat="1" ht="12"/>
    <row r="1850" s="154" customFormat="1" ht="12"/>
    <row r="1851" s="154" customFormat="1" ht="12"/>
    <row r="1852" s="154" customFormat="1" ht="12"/>
    <row r="1853" s="154" customFormat="1" ht="12"/>
    <row r="1854" s="154" customFormat="1" ht="12"/>
    <row r="1855" s="154" customFormat="1" ht="12"/>
    <row r="1856" s="154" customFormat="1" ht="12"/>
    <row r="1857" s="154" customFormat="1" ht="12"/>
    <row r="1858" s="154" customFormat="1" ht="12"/>
    <row r="1859" s="154" customFormat="1" ht="12"/>
    <row r="1860" s="154" customFormat="1" ht="12"/>
    <row r="1861" s="154" customFormat="1" ht="12"/>
    <row r="1862" s="154" customFormat="1" ht="12"/>
    <row r="1863" s="154" customFormat="1" ht="12"/>
    <row r="1864" s="154" customFormat="1" ht="12"/>
    <row r="1865" s="154" customFormat="1" ht="12"/>
    <row r="1866" s="154" customFormat="1" ht="12"/>
    <row r="1867" s="154" customFormat="1" ht="12"/>
    <row r="1868" s="154" customFormat="1" ht="12"/>
    <row r="1869" s="154" customFormat="1" ht="12"/>
    <row r="1870" s="154" customFormat="1" ht="12"/>
    <row r="1871" s="154" customFormat="1" ht="12"/>
    <row r="1872" s="154" customFormat="1" ht="12"/>
    <row r="1873" s="154" customFormat="1" ht="12"/>
    <row r="1874" s="154" customFormat="1" ht="12"/>
    <row r="1875" s="154" customFormat="1" ht="12"/>
    <row r="1876" s="154" customFormat="1" ht="12"/>
    <row r="1877" s="154" customFormat="1" ht="12"/>
    <row r="1878" s="154" customFormat="1" ht="12"/>
    <row r="1879" s="154" customFormat="1" ht="12"/>
    <row r="1880" s="154" customFormat="1" ht="12"/>
    <row r="1881" s="154" customFormat="1" ht="12"/>
    <row r="1882" s="154" customFormat="1" ht="12"/>
    <row r="1883" s="154" customFormat="1" ht="12"/>
    <row r="1884" s="154" customFormat="1" ht="12"/>
    <row r="1885" s="154" customFormat="1" ht="12"/>
    <row r="1886" s="154" customFormat="1" ht="12"/>
    <row r="1887" s="154" customFormat="1" ht="12"/>
    <row r="1888" s="154" customFormat="1" ht="12"/>
    <row r="1889" s="154" customFormat="1" ht="12"/>
    <row r="1890" s="154" customFormat="1" ht="12"/>
    <row r="1891" s="154" customFormat="1" ht="12"/>
    <row r="1892" s="154" customFormat="1" ht="12"/>
    <row r="1893" s="154" customFormat="1" ht="12"/>
    <row r="1894" s="154" customFormat="1" ht="12"/>
    <row r="1895" s="154" customFormat="1" ht="12"/>
    <row r="1896" s="154" customFormat="1" ht="12"/>
    <row r="1897" s="154" customFormat="1" ht="12"/>
    <row r="1898" s="154" customFormat="1" ht="12"/>
    <row r="1899" s="154" customFormat="1" ht="12"/>
    <row r="1900" s="154" customFormat="1" ht="12"/>
    <row r="1901" s="154" customFormat="1" ht="12"/>
    <row r="1902" s="154" customFormat="1" ht="12"/>
    <row r="1903" s="154" customFormat="1" ht="12"/>
    <row r="1904" s="154" customFormat="1" ht="12"/>
    <row r="1905" s="154" customFormat="1" ht="12"/>
    <row r="1906" s="154" customFormat="1" ht="12"/>
    <row r="1907" s="154" customFormat="1" ht="12"/>
    <row r="1908" s="154" customFormat="1" ht="12"/>
    <row r="1909" s="154" customFormat="1" ht="12"/>
    <row r="1910" s="154" customFormat="1" ht="12"/>
    <row r="1911" s="154" customFormat="1" ht="12"/>
    <row r="1912" s="154" customFormat="1" ht="12"/>
    <row r="1913" s="154" customFormat="1" ht="12"/>
    <row r="1914" s="154" customFormat="1" ht="12"/>
    <row r="1915" s="154" customFormat="1" ht="12"/>
    <row r="1916" s="154" customFormat="1" ht="12"/>
    <row r="1917" s="154" customFormat="1" ht="12"/>
    <row r="1918" spans="1:16" s="154" customFormat="1" ht="12">
      <c r="A1918" s="92"/>
      <c r="B1918" s="92"/>
      <c r="C1918" s="92"/>
      <c r="D1918" s="92"/>
      <c r="E1918" s="92"/>
      <c r="F1918" s="92"/>
      <c r="G1918" s="92"/>
      <c r="H1918" s="92"/>
      <c r="I1918" s="92"/>
      <c r="J1918" s="92"/>
      <c r="K1918" s="92"/>
      <c r="L1918" s="92"/>
      <c r="M1918" s="92"/>
      <c r="N1918" s="92"/>
      <c r="O1918" s="92"/>
      <c r="P1918" s="92"/>
    </row>
    <row r="1919" spans="1:16" s="154" customFormat="1" ht="12">
      <c r="A1919" s="92"/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</row>
    <row r="1920" spans="1:16" s="154" customFormat="1" ht="12">
      <c r="A1920" s="92"/>
      <c r="B1920" s="92"/>
      <c r="C1920" s="92"/>
      <c r="D1920" s="92"/>
      <c r="E1920" s="92"/>
      <c r="F1920" s="92"/>
      <c r="G1920" s="92"/>
      <c r="H1920" s="92"/>
      <c r="I1920" s="92"/>
      <c r="J1920" s="92"/>
      <c r="K1920" s="92"/>
      <c r="L1920" s="92"/>
      <c r="M1920" s="92"/>
      <c r="N1920" s="92"/>
      <c r="O1920" s="92"/>
      <c r="P1920" s="92"/>
    </row>
    <row r="1921" spans="1:16" s="154" customFormat="1" ht="12">
      <c r="A1921" s="92"/>
      <c r="B1921" s="92"/>
      <c r="C1921" s="92"/>
      <c r="D1921" s="92"/>
      <c r="E1921" s="92"/>
      <c r="F1921" s="92"/>
      <c r="G1921" s="92"/>
      <c r="H1921" s="92"/>
      <c r="I1921" s="92"/>
      <c r="J1921" s="92"/>
      <c r="K1921" s="92"/>
      <c r="L1921" s="92"/>
      <c r="M1921" s="92"/>
      <c r="N1921" s="92"/>
      <c r="O1921" s="92"/>
      <c r="P1921" s="92"/>
    </row>
    <row r="1922" spans="1:16" s="154" customFormat="1" ht="12">
      <c r="A1922" s="92"/>
      <c r="B1922" s="92"/>
      <c r="C1922" s="92"/>
      <c r="D1922" s="92"/>
      <c r="E1922" s="92"/>
      <c r="F1922" s="92"/>
      <c r="G1922" s="92"/>
      <c r="H1922" s="92"/>
      <c r="I1922" s="92"/>
      <c r="J1922" s="92"/>
      <c r="K1922" s="92"/>
      <c r="L1922" s="92"/>
      <c r="M1922" s="92"/>
      <c r="N1922" s="92"/>
      <c r="O1922" s="92"/>
      <c r="P1922" s="92"/>
    </row>
    <row r="1923" spans="1:16" s="154" customFormat="1" ht="12">
      <c r="A1923" s="92"/>
      <c r="B1923" s="92"/>
      <c r="C1923" s="92"/>
      <c r="D1923" s="92"/>
      <c r="E1923" s="92"/>
      <c r="F1923" s="92"/>
      <c r="G1923" s="92"/>
      <c r="H1923" s="92"/>
      <c r="I1923" s="92"/>
      <c r="J1923" s="92"/>
      <c r="K1923" s="92"/>
      <c r="L1923" s="92"/>
      <c r="M1923" s="92"/>
      <c r="N1923" s="92"/>
      <c r="O1923" s="92"/>
      <c r="P1923" s="92"/>
    </row>
    <row r="1924" spans="1:16" s="154" customFormat="1" ht="12">
      <c r="A1924" s="92"/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</row>
    <row r="1925" spans="1:16" s="154" customFormat="1" ht="12">
      <c r="A1925" s="92"/>
      <c r="B1925" s="92"/>
      <c r="C1925" s="92"/>
      <c r="D1925" s="92"/>
      <c r="E1925" s="92"/>
      <c r="F1925" s="92"/>
      <c r="G1925" s="92"/>
      <c r="H1925" s="92"/>
      <c r="I1925" s="92"/>
      <c r="J1925" s="92"/>
      <c r="K1925" s="92"/>
      <c r="L1925" s="92"/>
      <c r="M1925" s="92"/>
      <c r="N1925" s="92"/>
      <c r="O1925" s="92"/>
      <c r="P1925" s="92"/>
    </row>
    <row r="1926" spans="1:16" s="154" customFormat="1" ht="12">
      <c r="A1926" s="92"/>
      <c r="B1926" s="92"/>
      <c r="C1926" s="92"/>
      <c r="D1926" s="92"/>
      <c r="E1926" s="92"/>
      <c r="F1926" s="92"/>
      <c r="G1926" s="92"/>
      <c r="H1926" s="92"/>
      <c r="I1926" s="92"/>
      <c r="J1926" s="92"/>
      <c r="K1926" s="92"/>
      <c r="L1926" s="92"/>
      <c r="M1926" s="92"/>
      <c r="N1926" s="92"/>
      <c r="O1926" s="92"/>
      <c r="P1926" s="92"/>
    </row>
    <row r="1927" spans="1:16" s="154" customFormat="1" ht="12">
      <c r="A1927" s="92"/>
      <c r="B1927" s="92"/>
      <c r="C1927" s="92"/>
      <c r="D1927" s="92"/>
      <c r="E1927" s="92"/>
      <c r="F1927" s="92"/>
      <c r="G1927" s="92"/>
      <c r="H1927" s="92"/>
      <c r="I1927" s="92"/>
      <c r="J1927" s="92"/>
      <c r="K1927" s="92"/>
      <c r="L1927" s="92"/>
      <c r="M1927" s="92"/>
      <c r="N1927" s="92"/>
      <c r="O1927" s="92"/>
      <c r="P1927" s="92"/>
    </row>
    <row r="1928" spans="1:16" s="154" customFormat="1" ht="12">
      <c r="A1928" s="92"/>
      <c r="B1928" s="92"/>
      <c r="C1928" s="92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</row>
    <row r="1929" spans="1:16" s="154" customFormat="1" ht="12">
      <c r="A1929" s="92"/>
      <c r="B1929" s="92"/>
      <c r="C1929" s="92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</row>
    <row r="1930" spans="1:16" s="154" customFormat="1" ht="12">
      <c r="A1930" s="92"/>
      <c r="B1930" s="92"/>
      <c r="C1930" s="92"/>
      <c r="D1930" s="92"/>
      <c r="E1930" s="92"/>
      <c r="F1930" s="92"/>
      <c r="G1930" s="92"/>
      <c r="H1930" s="92"/>
      <c r="I1930" s="92"/>
      <c r="J1930" s="92"/>
      <c r="K1930" s="92"/>
      <c r="L1930" s="92"/>
      <c r="M1930" s="92"/>
      <c r="N1930" s="92"/>
      <c r="O1930" s="92"/>
      <c r="P1930" s="92"/>
    </row>
    <row r="1931" spans="1:16" s="154" customFormat="1" ht="12">
      <c r="A1931" s="92"/>
      <c r="B1931" s="92"/>
      <c r="C1931" s="92"/>
      <c r="D1931" s="92"/>
      <c r="E1931" s="92"/>
      <c r="F1931" s="92"/>
      <c r="G1931" s="92"/>
      <c r="H1931" s="92"/>
      <c r="I1931" s="92"/>
      <c r="J1931" s="92"/>
      <c r="K1931" s="92"/>
      <c r="L1931" s="92"/>
      <c r="M1931" s="92"/>
      <c r="N1931" s="92"/>
      <c r="O1931" s="92"/>
      <c r="P1931" s="92"/>
    </row>
    <row r="1932" spans="1:16" s="154" customFormat="1" ht="12">
      <c r="A1932" s="92"/>
      <c r="B1932" s="92"/>
      <c r="C1932" s="92"/>
      <c r="D1932" s="92"/>
      <c r="E1932" s="92"/>
      <c r="F1932" s="92"/>
      <c r="G1932" s="92"/>
      <c r="H1932" s="92"/>
      <c r="I1932" s="92"/>
      <c r="J1932" s="92"/>
      <c r="K1932" s="92"/>
      <c r="L1932" s="92"/>
      <c r="M1932" s="92"/>
      <c r="N1932" s="92"/>
      <c r="O1932" s="92"/>
      <c r="P1932" s="92"/>
    </row>
    <row r="1933" spans="1:16" s="154" customFormat="1" ht="12">
      <c r="A1933" s="92"/>
      <c r="B1933" s="92"/>
      <c r="C1933" s="92"/>
      <c r="D1933" s="92"/>
      <c r="E1933" s="92"/>
      <c r="F1933" s="92"/>
      <c r="G1933" s="92"/>
      <c r="H1933" s="92"/>
      <c r="I1933" s="92"/>
      <c r="J1933" s="92"/>
      <c r="K1933" s="92"/>
      <c r="L1933" s="92"/>
      <c r="M1933" s="92"/>
      <c r="N1933" s="92"/>
      <c r="O1933" s="92"/>
      <c r="P1933" s="92"/>
    </row>
    <row r="1934" spans="1:16" s="154" customFormat="1" ht="12">
      <c r="A1934" s="92"/>
      <c r="B1934" s="92"/>
      <c r="C1934" s="92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</row>
    <row r="1935" spans="1:16" s="154" customFormat="1" ht="12">
      <c r="A1935" s="92"/>
      <c r="B1935" s="92"/>
      <c r="C1935" s="92"/>
      <c r="D1935" s="92"/>
      <c r="E1935" s="92"/>
      <c r="F1935" s="92"/>
      <c r="G1935" s="92"/>
      <c r="H1935" s="92"/>
      <c r="I1935" s="92"/>
      <c r="J1935" s="92"/>
      <c r="K1935" s="92"/>
      <c r="L1935" s="92"/>
      <c r="M1935" s="92"/>
      <c r="N1935" s="92"/>
      <c r="O1935" s="92"/>
      <c r="P1935" s="92"/>
    </row>
    <row r="1936" spans="1:16" s="154" customFormat="1" ht="12">
      <c r="A1936" s="92"/>
      <c r="B1936" s="92"/>
      <c r="C1936" s="92"/>
      <c r="D1936" s="92"/>
      <c r="E1936" s="92"/>
      <c r="F1936" s="92"/>
      <c r="G1936" s="92"/>
      <c r="H1936" s="92"/>
      <c r="I1936" s="92"/>
      <c r="J1936" s="92"/>
      <c r="K1936" s="92"/>
      <c r="L1936" s="92"/>
      <c r="M1936" s="92"/>
      <c r="N1936" s="92"/>
      <c r="O1936" s="92"/>
      <c r="P1936" s="92"/>
    </row>
    <row r="1937" spans="1:16" s="154" customFormat="1" ht="12">
      <c r="A1937" s="92"/>
      <c r="B1937" s="92"/>
      <c r="C1937" s="92"/>
      <c r="D1937" s="92"/>
      <c r="E1937" s="92"/>
      <c r="F1937" s="92"/>
      <c r="G1937" s="92"/>
      <c r="H1937" s="92"/>
      <c r="I1937" s="92"/>
      <c r="J1937" s="92"/>
      <c r="K1937" s="92"/>
      <c r="L1937" s="92"/>
      <c r="M1937" s="92"/>
      <c r="N1937" s="92"/>
      <c r="O1937" s="92"/>
      <c r="P1937" s="92"/>
    </row>
    <row r="1938" spans="1:16" s="154" customFormat="1" ht="12">
      <c r="A1938" s="92"/>
      <c r="B1938" s="92"/>
      <c r="C1938" s="92"/>
      <c r="D1938" s="92"/>
      <c r="E1938" s="92"/>
      <c r="F1938" s="92"/>
      <c r="G1938" s="92"/>
      <c r="H1938" s="92"/>
      <c r="I1938" s="92"/>
      <c r="J1938" s="92"/>
      <c r="K1938" s="92"/>
      <c r="L1938" s="92"/>
      <c r="M1938" s="92"/>
      <c r="N1938" s="92"/>
      <c r="O1938" s="92"/>
      <c r="P1938" s="92"/>
    </row>
    <row r="1939" spans="1:16" s="154" customFormat="1" ht="12">
      <c r="A1939" s="92"/>
      <c r="B1939" s="92"/>
      <c r="C1939" s="92"/>
      <c r="D1939" s="92"/>
      <c r="E1939" s="92"/>
      <c r="F1939" s="92"/>
      <c r="G1939" s="92"/>
      <c r="H1939" s="92"/>
      <c r="I1939" s="92"/>
      <c r="J1939" s="92"/>
      <c r="K1939" s="92"/>
      <c r="L1939" s="92"/>
      <c r="M1939" s="92"/>
      <c r="N1939" s="92"/>
      <c r="O1939" s="92"/>
      <c r="P1939" s="92"/>
    </row>
    <row r="1940" spans="1:16" s="154" customFormat="1" ht="12">
      <c r="A1940" s="92"/>
      <c r="B1940" s="92"/>
      <c r="C1940" s="92"/>
      <c r="D1940" s="92"/>
      <c r="E1940" s="92"/>
      <c r="F1940" s="92"/>
      <c r="G1940" s="92"/>
      <c r="H1940" s="92"/>
      <c r="I1940" s="92"/>
      <c r="J1940" s="92"/>
      <c r="K1940" s="92"/>
      <c r="L1940" s="92"/>
      <c r="M1940" s="92"/>
      <c r="N1940" s="92"/>
      <c r="O1940" s="92"/>
      <c r="P1940" s="92"/>
    </row>
    <row r="1941" spans="1:16" s="154" customFormat="1" ht="12">
      <c r="A1941" s="92"/>
      <c r="B1941" s="92"/>
      <c r="C1941" s="92"/>
      <c r="D1941" s="92"/>
      <c r="E1941" s="92"/>
      <c r="F1941" s="92"/>
      <c r="G1941" s="92"/>
      <c r="H1941" s="92"/>
      <c r="I1941" s="92"/>
      <c r="J1941" s="92"/>
      <c r="K1941" s="92"/>
      <c r="L1941" s="92"/>
      <c r="M1941" s="92"/>
      <c r="N1941" s="92"/>
      <c r="O1941" s="92"/>
      <c r="P1941" s="92"/>
    </row>
    <row r="1942" spans="1:16" s="154" customFormat="1" ht="12">
      <c r="A1942" s="92"/>
      <c r="B1942" s="92"/>
      <c r="C1942" s="92"/>
      <c r="D1942" s="92"/>
      <c r="E1942" s="92"/>
      <c r="F1942" s="92"/>
      <c r="G1942" s="92"/>
      <c r="H1942" s="92"/>
      <c r="I1942" s="92"/>
      <c r="J1942" s="92"/>
      <c r="K1942" s="92"/>
      <c r="L1942" s="92"/>
      <c r="M1942" s="92"/>
      <c r="N1942" s="92"/>
      <c r="O1942" s="92"/>
      <c r="P1942" s="92"/>
    </row>
    <row r="1943" spans="1:16" s="154" customFormat="1" ht="12">
      <c r="A1943" s="92"/>
      <c r="B1943" s="92"/>
      <c r="C1943" s="92"/>
      <c r="D1943" s="92"/>
      <c r="E1943" s="92"/>
      <c r="F1943" s="92"/>
      <c r="G1943" s="92"/>
      <c r="H1943" s="92"/>
      <c r="I1943" s="92"/>
      <c r="J1943" s="92"/>
      <c r="K1943" s="92"/>
      <c r="L1943" s="92"/>
      <c r="M1943" s="92"/>
      <c r="N1943" s="92"/>
      <c r="O1943" s="92"/>
      <c r="P1943" s="92"/>
    </row>
    <row r="1944" spans="1:16" s="154" customFormat="1" ht="12">
      <c r="A1944" s="92"/>
      <c r="B1944" s="92"/>
      <c r="C1944" s="92"/>
      <c r="D1944" s="92"/>
      <c r="E1944" s="92"/>
      <c r="F1944" s="92"/>
      <c r="G1944" s="92"/>
      <c r="H1944" s="92"/>
      <c r="I1944" s="92"/>
      <c r="J1944" s="92"/>
      <c r="K1944" s="92"/>
      <c r="L1944" s="92"/>
      <c r="M1944" s="92"/>
      <c r="N1944" s="92"/>
      <c r="O1944" s="92"/>
      <c r="P1944" s="92"/>
    </row>
    <row r="1945" spans="1:16" s="154" customFormat="1" ht="12">
      <c r="A1945" s="92"/>
      <c r="B1945" s="92"/>
      <c r="C1945" s="92"/>
      <c r="D1945" s="92"/>
      <c r="E1945" s="92"/>
      <c r="F1945" s="92"/>
      <c r="G1945" s="92"/>
      <c r="H1945" s="92"/>
      <c r="I1945" s="92"/>
      <c r="J1945" s="92"/>
      <c r="K1945" s="92"/>
      <c r="L1945" s="92"/>
      <c r="M1945" s="92"/>
      <c r="N1945" s="92"/>
      <c r="O1945" s="92"/>
      <c r="P1945" s="92"/>
    </row>
    <row r="1946" spans="1:16" s="154" customFormat="1" ht="12">
      <c r="A1946" s="92"/>
      <c r="B1946" s="92"/>
      <c r="C1946" s="92"/>
      <c r="D1946" s="92"/>
      <c r="E1946" s="92"/>
      <c r="F1946" s="92"/>
      <c r="G1946" s="92"/>
      <c r="H1946" s="92"/>
      <c r="I1946" s="92"/>
      <c r="J1946" s="92"/>
      <c r="K1946" s="92"/>
      <c r="L1946" s="92"/>
      <c r="M1946" s="92"/>
      <c r="N1946" s="92"/>
      <c r="O1946" s="92"/>
      <c r="P1946" s="92"/>
    </row>
    <row r="1947" spans="1:16" s="154" customFormat="1" ht="12">
      <c r="A1947" s="92"/>
      <c r="B1947" s="92"/>
      <c r="C1947" s="92"/>
      <c r="D1947" s="92"/>
      <c r="E1947" s="92"/>
      <c r="F1947" s="92"/>
      <c r="G1947" s="92"/>
      <c r="H1947" s="92"/>
      <c r="I1947" s="92"/>
      <c r="J1947" s="92"/>
      <c r="K1947" s="92"/>
      <c r="L1947" s="92"/>
      <c r="M1947" s="92"/>
      <c r="N1947" s="92"/>
      <c r="O1947" s="92"/>
      <c r="P1947" s="92"/>
    </row>
    <row r="1948" spans="1:16" s="154" customFormat="1" ht="12">
      <c r="A1948" s="92"/>
      <c r="B1948" s="92"/>
      <c r="C1948" s="92"/>
      <c r="D1948" s="92"/>
      <c r="E1948" s="92"/>
      <c r="F1948" s="92"/>
      <c r="G1948" s="92"/>
      <c r="H1948" s="92"/>
      <c r="I1948" s="92"/>
      <c r="J1948" s="92"/>
      <c r="K1948" s="92"/>
      <c r="L1948" s="92"/>
      <c r="M1948" s="92"/>
      <c r="N1948" s="92"/>
      <c r="O1948" s="92"/>
      <c r="P1948" s="92"/>
    </row>
    <row r="1949" spans="1:16" s="154" customFormat="1" ht="12">
      <c r="A1949" s="92"/>
      <c r="B1949" s="92"/>
      <c r="C1949" s="92"/>
      <c r="D1949" s="92"/>
      <c r="E1949" s="92"/>
      <c r="F1949" s="92"/>
      <c r="G1949" s="92"/>
      <c r="H1949" s="92"/>
      <c r="I1949" s="92"/>
      <c r="J1949" s="92"/>
      <c r="K1949" s="92"/>
      <c r="L1949" s="92"/>
      <c r="M1949" s="92"/>
      <c r="N1949" s="92"/>
      <c r="O1949" s="92"/>
      <c r="P1949" s="92"/>
    </row>
    <row r="1950" spans="1:16" s="154" customFormat="1" ht="12">
      <c r="A1950" s="92"/>
      <c r="B1950" s="92"/>
      <c r="C1950" s="92"/>
      <c r="D1950" s="92"/>
      <c r="E1950" s="92"/>
      <c r="F1950" s="92"/>
      <c r="G1950" s="92"/>
      <c r="H1950" s="92"/>
      <c r="I1950" s="92"/>
      <c r="J1950" s="92"/>
      <c r="K1950" s="92"/>
      <c r="L1950" s="92"/>
      <c r="M1950" s="92"/>
      <c r="N1950" s="92"/>
      <c r="O1950" s="92"/>
      <c r="P1950" s="92"/>
    </row>
    <row r="1951" spans="1:16" s="154" customFormat="1" ht="12">
      <c r="A1951" s="92"/>
      <c r="B1951" s="92"/>
      <c r="C1951" s="92"/>
      <c r="D1951" s="92"/>
      <c r="E1951" s="92"/>
      <c r="F1951" s="92"/>
      <c r="G1951" s="92"/>
      <c r="H1951" s="92"/>
      <c r="I1951" s="92"/>
      <c r="J1951" s="92"/>
      <c r="K1951" s="92"/>
      <c r="L1951" s="92"/>
      <c r="M1951" s="92"/>
      <c r="N1951" s="92"/>
      <c r="O1951" s="92"/>
      <c r="P1951" s="92"/>
    </row>
    <row r="1952" spans="1:16" s="154" customFormat="1" ht="12">
      <c r="A1952" s="92"/>
      <c r="B1952" s="92"/>
      <c r="C1952" s="92"/>
      <c r="D1952" s="92"/>
      <c r="E1952" s="92"/>
      <c r="F1952" s="92"/>
      <c r="G1952" s="92"/>
      <c r="H1952" s="92"/>
      <c r="I1952" s="92"/>
      <c r="J1952" s="92"/>
      <c r="K1952" s="92"/>
      <c r="L1952" s="92"/>
      <c r="M1952" s="92"/>
      <c r="N1952" s="92"/>
      <c r="O1952" s="92"/>
      <c r="P1952" s="92"/>
    </row>
    <row r="1953" spans="1:16" s="154" customFormat="1" ht="12">
      <c r="A1953" s="92"/>
      <c r="B1953" s="92"/>
      <c r="C1953" s="92"/>
      <c r="D1953" s="92"/>
      <c r="E1953" s="92"/>
      <c r="F1953" s="92"/>
      <c r="G1953" s="92"/>
      <c r="H1953" s="92"/>
      <c r="I1953" s="92"/>
      <c r="J1953" s="92"/>
      <c r="K1953" s="92"/>
      <c r="L1953" s="92"/>
      <c r="M1953" s="92"/>
      <c r="N1953" s="92"/>
      <c r="O1953" s="92"/>
      <c r="P1953" s="92"/>
    </row>
    <row r="1954" spans="1:16" s="154" customFormat="1" ht="12">
      <c r="A1954" s="92"/>
      <c r="B1954" s="92"/>
      <c r="C1954" s="92"/>
      <c r="D1954" s="92"/>
      <c r="E1954" s="92"/>
      <c r="F1954" s="92"/>
      <c r="G1954" s="92"/>
      <c r="H1954" s="92"/>
      <c r="I1954" s="92"/>
      <c r="J1954" s="92"/>
      <c r="K1954" s="92"/>
      <c r="L1954" s="92"/>
      <c r="M1954" s="92"/>
      <c r="N1954" s="92"/>
      <c r="O1954" s="92"/>
      <c r="P1954" s="92"/>
    </row>
    <row r="1955" spans="1:16" s="154" customFormat="1" ht="12">
      <c r="A1955" s="92"/>
      <c r="B1955" s="92"/>
      <c r="C1955" s="92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</row>
    <row r="1956" spans="1:16" s="154" customFormat="1" ht="12">
      <c r="A1956" s="92"/>
      <c r="B1956" s="92"/>
      <c r="C1956" s="92"/>
      <c r="D1956" s="92"/>
      <c r="E1956" s="92"/>
      <c r="F1956" s="92"/>
      <c r="G1956" s="92"/>
      <c r="H1956" s="92"/>
      <c r="I1956" s="92"/>
      <c r="J1956" s="92"/>
      <c r="K1956" s="92"/>
      <c r="L1956" s="92"/>
      <c r="M1956" s="92"/>
      <c r="N1956" s="92"/>
      <c r="O1956" s="92"/>
      <c r="P1956" s="92"/>
    </row>
    <row r="1957" spans="1:16" s="154" customFormat="1" ht="12">
      <c r="A1957" s="92"/>
      <c r="B1957" s="92"/>
      <c r="C1957" s="92"/>
      <c r="D1957" s="92"/>
      <c r="E1957" s="92"/>
      <c r="F1957" s="92"/>
      <c r="G1957" s="92"/>
      <c r="H1957" s="92"/>
      <c r="I1957" s="92"/>
      <c r="J1957" s="92"/>
      <c r="K1957" s="92"/>
      <c r="L1957" s="92"/>
      <c r="M1957" s="92"/>
      <c r="N1957" s="92"/>
      <c r="O1957" s="92"/>
      <c r="P1957" s="92"/>
    </row>
    <row r="1958" spans="1:16" s="154" customFormat="1" ht="12">
      <c r="A1958" s="92"/>
      <c r="B1958" s="92"/>
      <c r="C1958" s="92"/>
      <c r="D1958" s="92"/>
      <c r="E1958" s="92"/>
      <c r="F1958" s="92"/>
      <c r="G1958" s="92"/>
      <c r="H1958" s="92"/>
      <c r="I1958" s="92"/>
      <c r="J1958" s="92"/>
      <c r="K1958" s="92"/>
      <c r="L1958" s="92"/>
      <c r="M1958" s="92"/>
      <c r="N1958" s="92"/>
      <c r="O1958" s="92"/>
      <c r="P1958" s="92"/>
    </row>
    <row r="1959" spans="1:16" s="154" customFormat="1" ht="12">
      <c r="A1959" s="92"/>
      <c r="B1959" s="92"/>
      <c r="C1959" s="92"/>
      <c r="D1959" s="92"/>
      <c r="E1959" s="92"/>
      <c r="F1959" s="92"/>
      <c r="G1959" s="92"/>
      <c r="H1959" s="92"/>
      <c r="I1959" s="92"/>
      <c r="J1959" s="92"/>
      <c r="K1959" s="92"/>
      <c r="L1959" s="92"/>
      <c r="M1959" s="92"/>
      <c r="N1959" s="92"/>
      <c r="O1959" s="92"/>
      <c r="P1959" s="92"/>
    </row>
    <row r="1960" spans="1:16" s="154" customFormat="1" ht="12">
      <c r="A1960" s="92"/>
      <c r="B1960" s="92"/>
      <c r="C1960" s="92"/>
      <c r="D1960" s="92"/>
      <c r="E1960" s="92"/>
      <c r="F1960" s="92"/>
      <c r="G1960" s="92"/>
      <c r="H1960" s="92"/>
      <c r="I1960" s="92"/>
      <c r="J1960" s="92"/>
      <c r="K1960" s="92"/>
      <c r="L1960" s="92"/>
      <c r="M1960" s="92"/>
      <c r="N1960" s="92"/>
      <c r="O1960" s="92"/>
      <c r="P1960" s="92"/>
    </row>
    <row r="1961" spans="1:16" s="154" customFormat="1" ht="12">
      <c r="A1961" s="92"/>
      <c r="B1961" s="92"/>
      <c r="C1961" s="92"/>
      <c r="D1961" s="92"/>
      <c r="E1961" s="92"/>
      <c r="F1961" s="92"/>
      <c r="G1961" s="92"/>
      <c r="H1961" s="92"/>
      <c r="I1961" s="92"/>
      <c r="J1961" s="92"/>
      <c r="K1961" s="92"/>
      <c r="L1961" s="92"/>
      <c r="M1961" s="92"/>
      <c r="N1961" s="92"/>
      <c r="O1961" s="92"/>
      <c r="P1961" s="92"/>
    </row>
    <row r="1962" spans="1:16" s="154" customFormat="1" ht="12">
      <c r="A1962" s="92"/>
      <c r="B1962" s="92"/>
      <c r="C1962" s="92"/>
      <c r="D1962" s="92"/>
      <c r="E1962" s="92"/>
      <c r="F1962" s="92"/>
      <c r="G1962" s="92"/>
      <c r="H1962" s="92"/>
      <c r="I1962" s="92"/>
      <c r="J1962" s="92"/>
      <c r="K1962" s="92"/>
      <c r="L1962" s="92"/>
      <c r="M1962" s="92"/>
      <c r="N1962" s="92"/>
      <c r="O1962" s="92"/>
      <c r="P1962" s="92"/>
    </row>
    <row r="1963" spans="1:16" s="154" customFormat="1" ht="12">
      <c r="A1963" s="92"/>
      <c r="B1963" s="92"/>
      <c r="C1963" s="92"/>
      <c r="D1963" s="92"/>
      <c r="E1963" s="92"/>
      <c r="F1963" s="92"/>
      <c r="G1963" s="92"/>
      <c r="H1963" s="92"/>
      <c r="I1963" s="92"/>
      <c r="J1963" s="92"/>
      <c r="K1963" s="92"/>
      <c r="L1963" s="92"/>
      <c r="M1963" s="92"/>
      <c r="N1963" s="92"/>
      <c r="O1963" s="92"/>
      <c r="P1963" s="92"/>
    </row>
    <row r="1964" spans="1:16" s="154" customFormat="1" ht="12">
      <c r="A1964" s="92"/>
      <c r="B1964" s="92"/>
      <c r="C1964" s="92"/>
      <c r="D1964" s="92"/>
      <c r="E1964" s="92"/>
      <c r="F1964" s="92"/>
      <c r="G1964" s="92"/>
      <c r="H1964" s="92"/>
      <c r="I1964" s="92"/>
      <c r="J1964" s="92"/>
      <c r="K1964" s="92"/>
      <c r="L1964" s="92"/>
      <c r="M1964" s="92"/>
      <c r="N1964" s="92"/>
      <c r="O1964" s="92"/>
      <c r="P1964" s="92"/>
    </row>
    <row r="1965" spans="1:16" s="154" customFormat="1" ht="12">
      <c r="A1965" s="92"/>
      <c r="B1965" s="92"/>
      <c r="C1965" s="92"/>
      <c r="D1965" s="92"/>
      <c r="E1965" s="92"/>
      <c r="F1965" s="92"/>
      <c r="G1965" s="92"/>
      <c r="H1965" s="92"/>
      <c r="I1965" s="92"/>
      <c r="J1965" s="92"/>
      <c r="K1965" s="92"/>
      <c r="L1965" s="92"/>
      <c r="M1965" s="92"/>
      <c r="N1965" s="92"/>
      <c r="O1965" s="92"/>
      <c r="P1965" s="92"/>
    </row>
    <row r="1966" spans="1:16" s="154" customFormat="1" ht="12">
      <c r="A1966" s="92"/>
      <c r="B1966" s="92"/>
      <c r="C1966" s="92"/>
      <c r="D1966" s="92"/>
      <c r="E1966" s="92"/>
      <c r="F1966" s="92"/>
      <c r="G1966" s="92"/>
      <c r="H1966" s="92"/>
      <c r="I1966" s="92"/>
      <c r="J1966" s="92"/>
      <c r="K1966" s="92"/>
      <c r="L1966" s="92"/>
      <c r="M1966" s="92"/>
      <c r="N1966" s="92"/>
      <c r="O1966" s="92"/>
      <c r="P1966" s="92"/>
    </row>
    <row r="1967" spans="1:16" s="154" customFormat="1" ht="12">
      <c r="A1967" s="92"/>
      <c r="B1967" s="92"/>
      <c r="C1967" s="92"/>
      <c r="D1967" s="92"/>
      <c r="E1967" s="92"/>
      <c r="F1967" s="92"/>
      <c r="G1967" s="92"/>
      <c r="H1967" s="92"/>
      <c r="I1967" s="92"/>
      <c r="J1967" s="92"/>
      <c r="K1967" s="92"/>
      <c r="L1967" s="92"/>
      <c r="M1967" s="92"/>
      <c r="N1967" s="92"/>
      <c r="O1967" s="92"/>
      <c r="P1967" s="92"/>
    </row>
    <row r="1968" spans="1:16" s="154" customFormat="1" ht="12">
      <c r="A1968" s="92"/>
      <c r="B1968" s="92"/>
      <c r="C1968" s="92"/>
      <c r="D1968" s="92"/>
      <c r="E1968" s="92"/>
      <c r="F1968" s="92"/>
      <c r="G1968" s="92"/>
      <c r="H1968" s="92"/>
      <c r="I1968" s="92"/>
      <c r="J1968" s="92"/>
      <c r="K1968" s="92"/>
      <c r="L1968" s="92"/>
      <c r="M1968" s="92"/>
      <c r="N1968" s="92"/>
      <c r="O1968" s="92"/>
      <c r="P1968" s="92"/>
    </row>
    <row r="1969" spans="1:16" s="154" customFormat="1" ht="12">
      <c r="A1969" s="92"/>
      <c r="B1969" s="92"/>
      <c r="C1969" s="92"/>
      <c r="D1969" s="92"/>
      <c r="E1969" s="92"/>
      <c r="F1969" s="92"/>
      <c r="G1969" s="92"/>
      <c r="H1969" s="92"/>
      <c r="I1969" s="92"/>
      <c r="J1969" s="92"/>
      <c r="K1969" s="92"/>
      <c r="L1969" s="92"/>
      <c r="M1969" s="92"/>
      <c r="N1969" s="92"/>
      <c r="O1969" s="92"/>
      <c r="P1969" s="92"/>
    </row>
    <row r="1970" spans="1:16" s="154" customFormat="1" ht="12">
      <c r="A1970" s="92"/>
      <c r="B1970" s="92"/>
      <c r="C1970" s="92"/>
      <c r="D1970" s="92"/>
      <c r="E1970" s="92"/>
      <c r="F1970" s="92"/>
      <c r="G1970" s="92"/>
      <c r="H1970" s="92"/>
      <c r="I1970" s="92"/>
      <c r="J1970" s="92"/>
      <c r="K1970" s="92"/>
      <c r="L1970" s="92"/>
      <c r="M1970" s="92"/>
      <c r="N1970" s="92"/>
      <c r="O1970" s="92"/>
      <c r="P1970" s="92"/>
    </row>
    <row r="1971" spans="1:16" s="154" customFormat="1" ht="12">
      <c r="A1971" s="92"/>
      <c r="B1971" s="92"/>
      <c r="C1971" s="92"/>
      <c r="D1971" s="92"/>
      <c r="E1971" s="92"/>
      <c r="F1971" s="92"/>
      <c r="G1971" s="92"/>
      <c r="H1971" s="92"/>
      <c r="I1971" s="92"/>
      <c r="J1971" s="92"/>
      <c r="K1971" s="92"/>
      <c r="L1971" s="92"/>
      <c r="M1971" s="92"/>
      <c r="N1971" s="92"/>
      <c r="O1971" s="92"/>
      <c r="P1971" s="92"/>
    </row>
    <row r="1972" spans="1:16" s="154" customFormat="1" ht="12">
      <c r="A1972" s="92"/>
      <c r="B1972" s="92"/>
      <c r="C1972" s="92"/>
      <c r="D1972" s="92"/>
      <c r="E1972" s="92"/>
      <c r="F1972" s="92"/>
      <c r="G1972" s="92"/>
      <c r="H1972" s="92"/>
      <c r="I1972" s="92"/>
      <c r="J1972" s="92"/>
      <c r="K1972" s="92"/>
      <c r="L1972" s="92"/>
      <c r="M1972" s="92"/>
      <c r="N1972" s="92"/>
      <c r="O1972" s="92"/>
      <c r="P1972" s="92"/>
    </row>
    <row r="1973" spans="1:16" s="154" customFormat="1" ht="12">
      <c r="A1973" s="92"/>
      <c r="B1973" s="92"/>
      <c r="C1973" s="92"/>
      <c r="D1973" s="92"/>
      <c r="E1973" s="92"/>
      <c r="F1973" s="92"/>
      <c r="G1973" s="92"/>
      <c r="H1973" s="92"/>
      <c r="I1973" s="92"/>
      <c r="J1973" s="92"/>
      <c r="K1973" s="92"/>
      <c r="L1973" s="92"/>
      <c r="M1973" s="92"/>
      <c r="N1973" s="92"/>
      <c r="O1973" s="92"/>
      <c r="P1973" s="92"/>
    </row>
    <row r="1974" spans="1:16" s="154" customFormat="1" ht="12">
      <c r="A1974" s="92"/>
      <c r="B1974" s="92"/>
      <c r="C1974" s="92"/>
      <c r="D1974" s="92"/>
      <c r="E1974" s="92"/>
      <c r="F1974" s="92"/>
      <c r="G1974" s="92"/>
      <c r="H1974" s="92"/>
      <c r="I1974" s="92"/>
      <c r="J1974" s="92"/>
      <c r="K1974" s="92"/>
      <c r="L1974" s="92"/>
      <c r="M1974" s="92"/>
      <c r="N1974" s="92"/>
      <c r="O1974" s="92"/>
      <c r="P1974" s="92"/>
    </row>
    <row r="1975" spans="1:16" s="154" customFormat="1" ht="12">
      <c r="A1975" s="92"/>
      <c r="B1975" s="92"/>
      <c r="C1975" s="92"/>
      <c r="D1975" s="92"/>
      <c r="E1975" s="92"/>
      <c r="F1975" s="92"/>
      <c r="G1975" s="92"/>
      <c r="H1975" s="92"/>
      <c r="I1975" s="92"/>
      <c r="J1975" s="92"/>
      <c r="K1975" s="92"/>
      <c r="L1975" s="92"/>
      <c r="M1975" s="92"/>
      <c r="N1975" s="92"/>
      <c r="O1975" s="92"/>
      <c r="P1975" s="92"/>
    </row>
    <row r="1976" spans="1:16" s="154" customFormat="1" ht="12">
      <c r="A1976" s="92"/>
      <c r="B1976" s="92"/>
      <c r="C1976" s="92"/>
      <c r="D1976" s="92"/>
      <c r="E1976" s="92"/>
      <c r="F1976" s="92"/>
      <c r="G1976" s="92"/>
      <c r="H1976" s="92"/>
      <c r="I1976" s="92"/>
      <c r="J1976" s="92"/>
      <c r="K1976" s="92"/>
      <c r="L1976" s="92"/>
      <c r="M1976" s="92"/>
      <c r="N1976" s="92"/>
      <c r="O1976" s="92"/>
      <c r="P1976" s="92"/>
    </row>
    <row r="1977" spans="1:16" s="154" customFormat="1" ht="12">
      <c r="A1977" s="92"/>
      <c r="B1977" s="92"/>
      <c r="C1977" s="92"/>
      <c r="D1977" s="92"/>
      <c r="E1977" s="92"/>
      <c r="F1977" s="92"/>
      <c r="G1977" s="92"/>
      <c r="H1977" s="92"/>
      <c r="I1977" s="92"/>
      <c r="J1977" s="92"/>
      <c r="K1977" s="92"/>
      <c r="L1977" s="92"/>
      <c r="M1977" s="92"/>
      <c r="N1977" s="92"/>
      <c r="O1977" s="92"/>
      <c r="P1977" s="92"/>
    </row>
    <row r="1978" spans="1:16" s="154" customFormat="1" ht="12">
      <c r="A1978" s="92"/>
      <c r="B1978" s="92"/>
      <c r="C1978" s="92"/>
      <c r="D1978" s="92"/>
      <c r="E1978" s="92"/>
      <c r="F1978" s="92"/>
      <c r="G1978" s="92"/>
      <c r="H1978" s="92"/>
      <c r="I1978" s="92"/>
      <c r="J1978" s="92"/>
      <c r="K1978" s="92"/>
      <c r="L1978" s="92"/>
      <c r="M1978" s="92"/>
      <c r="N1978" s="92"/>
      <c r="O1978" s="92"/>
      <c r="P1978" s="92"/>
    </row>
    <row r="1979" spans="1:16" s="154" customFormat="1" ht="12">
      <c r="A1979" s="92"/>
      <c r="B1979" s="92"/>
      <c r="C1979" s="92"/>
      <c r="D1979" s="92"/>
      <c r="E1979" s="92"/>
      <c r="F1979" s="92"/>
      <c r="G1979" s="92"/>
      <c r="H1979" s="92"/>
      <c r="I1979" s="92"/>
      <c r="J1979" s="92"/>
      <c r="K1979" s="92"/>
      <c r="L1979" s="92"/>
      <c r="M1979" s="92"/>
      <c r="N1979" s="92"/>
      <c r="O1979" s="92"/>
      <c r="P1979" s="92"/>
    </row>
    <row r="1980" spans="1:16" s="154" customFormat="1" ht="12">
      <c r="A1980" s="92"/>
      <c r="B1980" s="92"/>
      <c r="C1980" s="92"/>
      <c r="D1980" s="92"/>
      <c r="E1980" s="92"/>
      <c r="F1980" s="92"/>
      <c r="G1980" s="92"/>
      <c r="H1980" s="92"/>
      <c r="I1980" s="92"/>
      <c r="J1980" s="92"/>
      <c r="K1980" s="92"/>
      <c r="L1980" s="92"/>
      <c r="M1980" s="92"/>
      <c r="N1980" s="92"/>
      <c r="O1980" s="92"/>
      <c r="P1980" s="92"/>
    </row>
    <row r="1981" spans="1:16" s="154" customFormat="1" ht="12">
      <c r="A1981" s="92"/>
      <c r="B1981" s="92"/>
      <c r="C1981" s="92"/>
      <c r="D1981" s="92"/>
      <c r="E1981" s="92"/>
      <c r="F1981" s="92"/>
      <c r="G1981" s="92"/>
      <c r="H1981" s="92"/>
      <c r="I1981" s="92"/>
      <c r="J1981" s="92"/>
      <c r="K1981" s="92"/>
      <c r="L1981" s="92"/>
      <c r="M1981" s="92"/>
      <c r="N1981" s="92"/>
      <c r="O1981" s="92"/>
      <c r="P1981" s="92"/>
    </row>
    <row r="1982" spans="1:16" s="154" customFormat="1" ht="12">
      <c r="A1982" s="92"/>
      <c r="B1982" s="92"/>
      <c r="C1982" s="92"/>
      <c r="D1982" s="92"/>
      <c r="E1982" s="92"/>
      <c r="F1982" s="92"/>
      <c r="G1982" s="92"/>
      <c r="H1982" s="92"/>
      <c r="I1982" s="92"/>
      <c r="J1982" s="92"/>
      <c r="K1982" s="92"/>
      <c r="L1982" s="92"/>
      <c r="M1982" s="92"/>
      <c r="N1982" s="92"/>
      <c r="O1982" s="92"/>
      <c r="P1982" s="92"/>
    </row>
    <row r="1983" spans="1:16" s="154" customFormat="1" ht="12">
      <c r="A1983" s="92"/>
      <c r="B1983" s="92"/>
      <c r="C1983" s="92"/>
      <c r="D1983" s="92"/>
      <c r="E1983" s="92"/>
      <c r="F1983" s="92"/>
      <c r="G1983" s="92"/>
      <c r="H1983" s="92"/>
      <c r="I1983" s="92"/>
      <c r="J1983" s="92"/>
      <c r="K1983" s="92"/>
      <c r="L1983" s="92"/>
      <c r="M1983" s="92"/>
      <c r="N1983" s="92"/>
      <c r="O1983" s="92"/>
      <c r="P1983" s="92"/>
    </row>
    <row r="1984" spans="1:16" s="154" customFormat="1" ht="12">
      <c r="A1984" s="92"/>
      <c r="B1984" s="92"/>
      <c r="C1984" s="92"/>
      <c r="D1984" s="92"/>
      <c r="E1984" s="92"/>
      <c r="F1984" s="92"/>
      <c r="G1984" s="92"/>
      <c r="H1984" s="92"/>
      <c r="I1984" s="92"/>
      <c r="J1984" s="92"/>
      <c r="K1984" s="92"/>
      <c r="L1984" s="92"/>
      <c r="M1984" s="92"/>
      <c r="N1984" s="92"/>
      <c r="O1984" s="92"/>
      <c r="P1984" s="92"/>
    </row>
    <row r="1985" spans="1:16" s="154" customFormat="1" ht="12">
      <c r="A1985" s="92"/>
      <c r="B1985" s="92"/>
      <c r="C1985" s="92"/>
      <c r="D1985" s="92"/>
      <c r="E1985" s="92"/>
      <c r="F1985" s="92"/>
      <c r="G1985" s="92"/>
      <c r="H1985" s="92"/>
      <c r="I1985" s="92"/>
      <c r="J1985" s="92"/>
      <c r="K1985" s="92"/>
      <c r="L1985" s="92"/>
      <c r="M1985" s="92"/>
      <c r="N1985" s="92"/>
      <c r="O1985" s="92"/>
      <c r="P1985" s="92"/>
    </row>
    <row r="1986" spans="1:16" s="154" customFormat="1" ht="12">
      <c r="A1986" s="92"/>
      <c r="B1986" s="92"/>
      <c r="C1986" s="92"/>
      <c r="D1986" s="92"/>
      <c r="E1986" s="92"/>
      <c r="F1986" s="92"/>
      <c r="G1986" s="92"/>
      <c r="H1986" s="92"/>
      <c r="I1986" s="92"/>
      <c r="J1986" s="92"/>
      <c r="K1986" s="92"/>
      <c r="L1986" s="92"/>
      <c r="M1986" s="92"/>
      <c r="N1986" s="92"/>
      <c r="O1986" s="92"/>
      <c r="P1986" s="92"/>
    </row>
    <row r="1987" spans="1:16" s="154" customFormat="1" ht="12">
      <c r="A1987" s="92"/>
      <c r="B1987" s="92"/>
      <c r="C1987" s="92"/>
      <c r="D1987" s="92"/>
      <c r="E1987" s="92"/>
      <c r="F1987" s="92"/>
      <c r="G1987" s="92"/>
      <c r="H1987" s="92"/>
      <c r="I1987" s="92"/>
      <c r="J1987" s="92"/>
      <c r="K1987" s="92"/>
      <c r="L1987" s="92"/>
      <c r="M1987" s="92"/>
      <c r="N1987" s="92"/>
      <c r="O1987" s="92"/>
      <c r="P1987" s="92"/>
    </row>
    <row r="1988" spans="1:16" s="154" customFormat="1" ht="12">
      <c r="A1988" s="92"/>
      <c r="B1988" s="92"/>
      <c r="C1988" s="92"/>
      <c r="D1988" s="92"/>
      <c r="E1988" s="92"/>
      <c r="F1988" s="92"/>
      <c r="G1988" s="92"/>
      <c r="H1988" s="92"/>
      <c r="I1988" s="92"/>
      <c r="J1988" s="92"/>
      <c r="K1988" s="92"/>
      <c r="L1988" s="92"/>
      <c r="M1988" s="92"/>
      <c r="N1988" s="92"/>
      <c r="O1988" s="92"/>
      <c r="P1988" s="92"/>
    </row>
    <row r="1989" spans="1:16" s="154" customFormat="1" ht="12">
      <c r="A1989" s="92"/>
      <c r="B1989" s="92"/>
      <c r="C1989" s="92"/>
      <c r="D1989" s="92"/>
      <c r="E1989" s="92"/>
      <c r="F1989" s="92"/>
      <c r="G1989" s="92"/>
      <c r="H1989" s="92"/>
      <c r="I1989" s="92"/>
      <c r="J1989" s="92"/>
      <c r="K1989" s="92"/>
      <c r="L1989" s="92"/>
      <c r="M1989" s="92"/>
      <c r="N1989" s="92"/>
      <c r="O1989" s="92"/>
      <c r="P1989" s="92"/>
    </row>
    <row r="1990" spans="1:16" s="154" customFormat="1" ht="12">
      <c r="A1990" s="92"/>
      <c r="B1990" s="92"/>
      <c r="C1990" s="92"/>
      <c r="D1990" s="92"/>
      <c r="E1990" s="92"/>
      <c r="F1990" s="92"/>
      <c r="G1990" s="92"/>
      <c r="H1990" s="92"/>
      <c r="I1990" s="92"/>
      <c r="J1990" s="92"/>
      <c r="K1990" s="92"/>
      <c r="L1990" s="92"/>
      <c r="M1990" s="92"/>
      <c r="N1990" s="92"/>
      <c r="O1990" s="92"/>
      <c r="P1990" s="92"/>
    </row>
    <row r="1991" spans="1:16" s="154" customFormat="1" ht="12">
      <c r="A1991" s="92"/>
      <c r="B1991" s="92"/>
      <c r="C1991" s="92"/>
      <c r="D1991" s="92"/>
      <c r="E1991" s="92"/>
      <c r="F1991" s="92"/>
      <c r="G1991" s="92"/>
      <c r="H1991" s="92"/>
      <c r="I1991" s="92"/>
      <c r="J1991" s="92"/>
      <c r="K1991" s="92"/>
      <c r="L1991" s="92"/>
      <c r="M1991" s="92"/>
      <c r="N1991" s="92"/>
      <c r="O1991" s="92"/>
      <c r="P1991" s="92"/>
    </row>
    <row r="1992" spans="1:16" s="154" customFormat="1" ht="12">
      <c r="A1992" s="92"/>
      <c r="B1992" s="92"/>
      <c r="C1992" s="92"/>
      <c r="D1992" s="92"/>
      <c r="E1992" s="92"/>
      <c r="F1992" s="92"/>
      <c r="G1992" s="92"/>
      <c r="H1992" s="92"/>
      <c r="I1992" s="92"/>
      <c r="J1992" s="92"/>
      <c r="K1992" s="92"/>
      <c r="L1992" s="92"/>
      <c r="M1992" s="92"/>
      <c r="N1992" s="92"/>
      <c r="O1992" s="92"/>
      <c r="P1992" s="92"/>
    </row>
    <row r="1993" spans="1:16" s="154" customFormat="1" ht="12">
      <c r="A1993" s="92"/>
      <c r="B1993" s="92"/>
      <c r="C1993" s="92"/>
      <c r="D1993" s="92"/>
      <c r="E1993" s="92"/>
      <c r="F1993" s="92"/>
      <c r="G1993" s="92"/>
      <c r="H1993" s="92"/>
      <c r="I1993" s="92"/>
      <c r="J1993" s="92"/>
      <c r="K1993" s="92"/>
      <c r="L1993" s="92"/>
      <c r="M1993" s="92"/>
      <c r="N1993" s="92"/>
      <c r="O1993" s="92"/>
      <c r="P1993" s="92"/>
    </row>
    <row r="1994" spans="1:16" s="154" customFormat="1" ht="12">
      <c r="A1994" s="92"/>
      <c r="B1994" s="92"/>
      <c r="C1994" s="92"/>
      <c r="D1994" s="92"/>
      <c r="E1994" s="92"/>
      <c r="F1994" s="92"/>
      <c r="G1994" s="92"/>
      <c r="H1994" s="92"/>
      <c r="I1994" s="92"/>
      <c r="J1994" s="92"/>
      <c r="K1994" s="92"/>
      <c r="L1994" s="92"/>
      <c r="M1994" s="92"/>
      <c r="N1994" s="92"/>
      <c r="O1994" s="92"/>
      <c r="P1994" s="92"/>
    </row>
    <row r="1995" spans="1:16" s="154" customFormat="1" ht="12">
      <c r="A1995" s="92"/>
      <c r="B1995" s="92"/>
      <c r="C1995" s="92"/>
      <c r="D1995" s="92"/>
      <c r="E1995" s="92"/>
      <c r="F1995" s="92"/>
      <c r="G1995" s="92"/>
      <c r="H1995" s="92"/>
      <c r="I1995" s="92"/>
      <c r="J1995" s="92"/>
      <c r="K1995" s="92"/>
      <c r="L1995" s="92"/>
      <c r="M1995" s="92"/>
      <c r="N1995" s="92"/>
      <c r="O1995" s="92"/>
      <c r="P1995" s="92"/>
    </row>
    <row r="1996" spans="1:16" s="154" customFormat="1" ht="12">
      <c r="A1996" s="92"/>
      <c r="B1996" s="92"/>
      <c r="C1996" s="92"/>
      <c r="D1996" s="92"/>
      <c r="E1996" s="92"/>
      <c r="F1996" s="92"/>
      <c r="G1996" s="92"/>
      <c r="H1996" s="92"/>
      <c r="I1996" s="92"/>
      <c r="J1996" s="92"/>
      <c r="K1996" s="92"/>
      <c r="L1996" s="92"/>
      <c r="M1996" s="92"/>
      <c r="N1996" s="92"/>
      <c r="O1996" s="92"/>
      <c r="P1996" s="92"/>
    </row>
    <row r="1997" spans="1:16" s="154" customFormat="1" ht="12">
      <c r="A1997" s="92"/>
      <c r="B1997" s="92"/>
      <c r="C1997" s="92"/>
      <c r="D1997" s="92"/>
      <c r="E1997" s="92"/>
      <c r="F1997" s="92"/>
      <c r="G1997" s="92"/>
      <c r="H1997" s="92"/>
      <c r="I1997" s="92"/>
      <c r="J1997" s="92"/>
      <c r="K1997" s="92"/>
      <c r="L1997" s="92"/>
      <c r="M1997" s="92"/>
      <c r="N1997" s="92"/>
      <c r="O1997" s="92"/>
      <c r="P1997" s="92"/>
    </row>
    <row r="1998" spans="1:16" s="154" customFormat="1" ht="12">
      <c r="A1998" s="92"/>
      <c r="B1998" s="92"/>
      <c r="C1998" s="92"/>
      <c r="D1998" s="92"/>
      <c r="E1998" s="92"/>
      <c r="F1998" s="92"/>
      <c r="G1998" s="92"/>
      <c r="H1998" s="92"/>
      <c r="I1998" s="92"/>
      <c r="J1998" s="92"/>
      <c r="K1998" s="92"/>
      <c r="L1998" s="92"/>
      <c r="M1998" s="92"/>
      <c r="N1998" s="92"/>
      <c r="O1998" s="92"/>
      <c r="P1998" s="92"/>
    </row>
    <row r="1999" spans="1:16" s="154" customFormat="1" ht="12">
      <c r="A1999" s="92"/>
      <c r="B1999" s="92"/>
      <c r="C1999" s="92"/>
      <c r="D1999" s="92"/>
      <c r="E1999" s="92"/>
      <c r="F1999" s="92"/>
      <c r="G1999" s="92"/>
      <c r="H1999" s="92"/>
      <c r="I1999" s="92"/>
      <c r="J1999" s="92"/>
      <c r="K1999" s="92"/>
      <c r="L1999" s="92"/>
      <c r="M1999" s="92"/>
      <c r="N1999" s="92"/>
      <c r="O1999" s="92"/>
      <c r="P1999" s="92"/>
    </row>
    <row r="2000" spans="1:16" s="154" customFormat="1" ht="12">
      <c r="A2000" s="92"/>
      <c r="B2000" s="92"/>
      <c r="C2000" s="92"/>
      <c r="D2000" s="92"/>
      <c r="E2000" s="92"/>
      <c r="F2000" s="92"/>
      <c r="G2000" s="92"/>
      <c r="H2000" s="92"/>
      <c r="I2000" s="92"/>
      <c r="J2000" s="92"/>
      <c r="K2000" s="92"/>
      <c r="L2000" s="92"/>
      <c r="M2000" s="92"/>
      <c r="N2000" s="92"/>
      <c r="O2000" s="92"/>
      <c r="P2000" s="92"/>
    </row>
    <row r="2001" spans="1:16" s="154" customFormat="1" ht="12">
      <c r="A2001" s="92"/>
      <c r="B2001" s="92"/>
      <c r="C2001" s="92"/>
      <c r="D2001" s="92"/>
      <c r="E2001" s="92"/>
      <c r="F2001" s="92"/>
      <c r="G2001" s="92"/>
      <c r="H2001" s="92"/>
      <c r="I2001" s="92"/>
      <c r="J2001" s="92"/>
      <c r="K2001" s="92"/>
      <c r="L2001" s="92"/>
      <c r="M2001" s="92"/>
      <c r="N2001" s="92"/>
      <c r="O2001" s="92"/>
      <c r="P2001" s="92"/>
    </row>
    <row r="2002" spans="1:16" s="154" customFormat="1" ht="12">
      <c r="A2002" s="92"/>
      <c r="B2002" s="92"/>
      <c r="C2002" s="92"/>
      <c r="D2002" s="92"/>
      <c r="E2002" s="92"/>
      <c r="F2002" s="92"/>
      <c r="G2002" s="92"/>
      <c r="H2002" s="92"/>
      <c r="I2002" s="92"/>
      <c r="J2002" s="92"/>
      <c r="K2002" s="92"/>
      <c r="L2002" s="92"/>
      <c r="M2002" s="92"/>
      <c r="N2002" s="92"/>
      <c r="O2002" s="92"/>
      <c r="P2002" s="92"/>
    </row>
    <row r="2003" spans="1:16" s="154" customFormat="1" ht="12">
      <c r="A2003" s="92"/>
      <c r="B2003" s="92"/>
      <c r="C2003" s="92"/>
      <c r="D2003" s="92"/>
      <c r="E2003" s="92"/>
      <c r="F2003" s="92"/>
      <c r="G2003" s="92"/>
      <c r="H2003" s="92"/>
      <c r="I2003" s="92"/>
      <c r="J2003" s="92"/>
      <c r="K2003" s="92"/>
      <c r="L2003" s="92"/>
      <c r="M2003" s="92"/>
      <c r="N2003" s="92"/>
      <c r="O2003" s="92"/>
      <c r="P2003" s="92"/>
    </row>
    <row r="2004" spans="1:16" s="154" customFormat="1" ht="12">
      <c r="A2004" s="92"/>
      <c r="B2004" s="92"/>
      <c r="C2004" s="92"/>
      <c r="D2004" s="92"/>
      <c r="E2004" s="92"/>
      <c r="F2004" s="92"/>
      <c r="G2004" s="92"/>
      <c r="H2004" s="92"/>
      <c r="I2004" s="92"/>
      <c r="J2004" s="92"/>
      <c r="K2004" s="92"/>
      <c r="L2004" s="92"/>
      <c r="M2004" s="92"/>
      <c r="N2004" s="92"/>
      <c r="O2004" s="92"/>
      <c r="P2004" s="92"/>
    </row>
    <row r="2005" spans="1:16" s="154" customFormat="1" ht="12">
      <c r="A2005" s="92"/>
      <c r="B2005" s="92"/>
      <c r="C2005" s="92"/>
      <c r="D2005" s="92"/>
      <c r="E2005" s="92"/>
      <c r="F2005" s="92"/>
      <c r="G2005" s="92"/>
      <c r="H2005" s="92"/>
      <c r="I2005" s="92"/>
      <c r="J2005" s="92"/>
      <c r="K2005" s="92"/>
      <c r="L2005" s="92"/>
      <c r="M2005" s="92"/>
      <c r="N2005" s="92"/>
      <c r="O2005" s="92"/>
      <c r="P2005" s="92"/>
    </row>
    <row r="2006" spans="1:16" s="154" customFormat="1" ht="12">
      <c r="A2006" s="92"/>
      <c r="B2006" s="92"/>
      <c r="C2006" s="92"/>
      <c r="D2006" s="92"/>
      <c r="E2006" s="92"/>
      <c r="F2006" s="92"/>
      <c r="G2006" s="92"/>
      <c r="H2006" s="92"/>
      <c r="I2006" s="92"/>
      <c r="J2006" s="92"/>
      <c r="K2006" s="92"/>
      <c r="L2006" s="92"/>
      <c r="M2006" s="92"/>
      <c r="N2006" s="92"/>
      <c r="O2006" s="92"/>
      <c r="P2006" s="92"/>
    </row>
    <row r="2007" spans="1:16" s="154" customFormat="1" ht="12">
      <c r="A2007" s="92"/>
      <c r="B2007" s="92"/>
      <c r="C2007" s="92"/>
      <c r="D2007" s="92"/>
      <c r="E2007" s="92"/>
      <c r="F2007" s="92"/>
      <c r="G2007" s="92"/>
      <c r="H2007" s="92"/>
      <c r="I2007" s="92"/>
      <c r="J2007" s="92"/>
      <c r="K2007" s="92"/>
      <c r="L2007" s="92"/>
      <c r="M2007" s="92"/>
      <c r="N2007" s="92"/>
      <c r="O2007" s="92"/>
      <c r="P2007" s="92"/>
    </row>
    <row r="2008" spans="1:16" s="154" customFormat="1" ht="12">
      <c r="A2008" s="92"/>
      <c r="B2008" s="92"/>
      <c r="C2008" s="92"/>
      <c r="D2008" s="92"/>
      <c r="E2008" s="92"/>
      <c r="F2008" s="92"/>
      <c r="G2008" s="92"/>
      <c r="H2008" s="92"/>
      <c r="I2008" s="92"/>
      <c r="J2008" s="92"/>
      <c r="K2008" s="92"/>
      <c r="L2008" s="92"/>
      <c r="M2008" s="92"/>
      <c r="N2008" s="92"/>
      <c r="O2008" s="92"/>
      <c r="P2008" s="92"/>
    </row>
    <row r="2009" spans="1:16" s="154" customFormat="1" ht="12">
      <c r="A2009" s="92"/>
      <c r="B2009" s="92"/>
      <c r="C2009" s="92"/>
      <c r="D2009" s="92"/>
      <c r="E2009" s="92"/>
      <c r="F2009" s="92"/>
      <c r="G2009" s="92"/>
      <c r="H2009" s="92"/>
      <c r="I2009" s="92"/>
      <c r="J2009" s="92"/>
      <c r="K2009" s="92"/>
      <c r="L2009" s="92"/>
      <c r="M2009" s="92"/>
      <c r="N2009" s="92"/>
      <c r="O2009" s="92"/>
      <c r="P2009" s="92"/>
    </row>
    <row r="2010" spans="1:16" s="154" customFormat="1" ht="12">
      <c r="A2010" s="92"/>
      <c r="B2010" s="92"/>
      <c r="C2010" s="92"/>
      <c r="D2010" s="92"/>
      <c r="E2010" s="92"/>
      <c r="F2010" s="92"/>
      <c r="G2010" s="92"/>
      <c r="H2010" s="92"/>
      <c r="I2010" s="92"/>
      <c r="J2010" s="92"/>
      <c r="K2010" s="92"/>
      <c r="L2010" s="92"/>
      <c r="M2010" s="92"/>
      <c r="N2010" s="92"/>
      <c r="O2010" s="92"/>
      <c r="P2010" s="92"/>
    </row>
    <row r="2011" spans="1:16" s="154" customFormat="1" ht="12">
      <c r="A2011" s="92"/>
      <c r="B2011" s="92"/>
      <c r="C2011" s="92"/>
      <c r="D2011" s="92"/>
      <c r="E2011" s="92"/>
      <c r="F2011" s="92"/>
      <c r="G2011" s="92"/>
      <c r="H2011" s="92"/>
      <c r="I2011" s="92"/>
      <c r="J2011" s="92"/>
      <c r="K2011" s="92"/>
      <c r="L2011" s="92"/>
      <c r="M2011" s="92"/>
      <c r="N2011" s="92"/>
      <c r="O2011" s="92"/>
      <c r="P2011" s="92"/>
    </row>
    <row r="2012" spans="1:16" s="154" customFormat="1" ht="12">
      <c r="A2012" s="92"/>
      <c r="B2012" s="92"/>
      <c r="C2012" s="92"/>
      <c r="D2012" s="92"/>
      <c r="E2012" s="92"/>
      <c r="F2012" s="92"/>
      <c r="G2012" s="92"/>
      <c r="H2012" s="92"/>
      <c r="I2012" s="92"/>
      <c r="J2012" s="92"/>
      <c r="K2012" s="92"/>
      <c r="L2012" s="92"/>
      <c r="M2012" s="92"/>
      <c r="N2012" s="92"/>
      <c r="O2012" s="92"/>
      <c r="P2012" s="92"/>
    </row>
    <row r="2013" spans="1:16" s="154" customFormat="1" ht="12">
      <c r="A2013" s="92"/>
      <c r="B2013" s="92"/>
      <c r="C2013" s="92"/>
      <c r="D2013" s="92"/>
      <c r="E2013" s="92"/>
      <c r="F2013" s="92"/>
      <c r="G2013" s="92"/>
      <c r="H2013" s="92"/>
      <c r="I2013" s="92"/>
      <c r="J2013" s="92"/>
      <c r="K2013" s="92"/>
      <c r="L2013" s="92"/>
      <c r="M2013" s="92"/>
      <c r="N2013" s="92"/>
      <c r="O2013" s="92"/>
      <c r="P2013" s="92"/>
    </row>
    <row r="2014" spans="1:16" s="154" customFormat="1" ht="12">
      <c r="A2014" s="92"/>
      <c r="B2014" s="92"/>
      <c r="C2014" s="92"/>
      <c r="D2014" s="92"/>
      <c r="E2014" s="92"/>
      <c r="F2014" s="92"/>
      <c r="G2014" s="92"/>
      <c r="H2014" s="92"/>
      <c r="I2014" s="92"/>
      <c r="J2014" s="92"/>
      <c r="K2014" s="92"/>
      <c r="L2014" s="92"/>
      <c r="M2014" s="92"/>
      <c r="N2014" s="92"/>
      <c r="O2014" s="92"/>
      <c r="P2014" s="92"/>
    </row>
    <row r="2015" spans="1:16" s="154" customFormat="1" ht="12">
      <c r="A2015" s="92"/>
      <c r="B2015" s="92"/>
      <c r="C2015" s="92"/>
      <c r="D2015" s="92"/>
      <c r="E2015" s="92"/>
      <c r="F2015" s="92"/>
      <c r="G2015" s="92"/>
      <c r="H2015" s="92"/>
      <c r="I2015" s="92"/>
      <c r="J2015" s="92"/>
      <c r="K2015" s="92"/>
      <c r="L2015" s="92"/>
      <c r="M2015" s="92"/>
      <c r="N2015" s="92"/>
      <c r="O2015" s="92"/>
      <c r="P2015" s="92"/>
    </row>
    <row r="2016" spans="1:16" s="154" customFormat="1" ht="12">
      <c r="A2016" s="92"/>
      <c r="B2016" s="92"/>
      <c r="C2016" s="92"/>
      <c r="D2016" s="92"/>
      <c r="E2016" s="92"/>
      <c r="F2016" s="92"/>
      <c r="G2016" s="92"/>
      <c r="H2016" s="92"/>
      <c r="I2016" s="92"/>
      <c r="J2016" s="92"/>
      <c r="K2016" s="92"/>
      <c r="L2016" s="92"/>
      <c r="M2016" s="92"/>
      <c r="N2016" s="92"/>
      <c r="O2016" s="92"/>
      <c r="P2016" s="92"/>
    </row>
    <row r="2017" spans="1:16" s="154" customFormat="1" ht="12">
      <c r="A2017" s="92"/>
      <c r="B2017" s="92"/>
      <c r="C2017" s="92"/>
      <c r="D2017" s="92"/>
      <c r="E2017" s="92"/>
      <c r="F2017" s="92"/>
      <c r="G2017" s="92"/>
      <c r="H2017" s="92"/>
      <c r="I2017" s="92"/>
      <c r="J2017" s="92"/>
      <c r="K2017" s="92"/>
      <c r="L2017" s="92"/>
      <c r="M2017" s="92"/>
      <c r="N2017" s="92"/>
      <c r="O2017" s="92"/>
      <c r="P2017" s="92"/>
    </row>
    <row r="2018" spans="1:16" s="154" customFormat="1" ht="12">
      <c r="A2018" s="92"/>
      <c r="B2018" s="92"/>
      <c r="C2018" s="92"/>
      <c r="D2018" s="92"/>
      <c r="E2018" s="92"/>
      <c r="F2018" s="92"/>
      <c r="G2018" s="92"/>
      <c r="H2018" s="92"/>
      <c r="I2018" s="92"/>
      <c r="J2018" s="92"/>
      <c r="K2018" s="92"/>
      <c r="L2018" s="92"/>
      <c r="M2018" s="92"/>
      <c r="N2018" s="92"/>
      <c r="O2018" s="92"/>
      <c r="P2018" s="92"/>
    </row>
    <row r="2019" spans="1:16" s="154" customFormat="1" ht="12">
      <c r="A2019" s="92"/>
      <c r="B2019" s="92"/>
      <c r="C2019" s="92"/>
      <c r="D2019" s="92"/>
      <c r="E2019" s="92"/>
      <c r="F2019" s="92"/>
      <c r="G2019" s="92"/>
      <c r="H2019" s="92"/>
      <c r="I2019" s="92"/>
      <c r="J2019" s="92"/>
      <c r="K2019" s="92"/>
      <c r="L2019" s="92"/>
      <c r="M2019" s="92"/>
      <c r="N2019" s="92"/>
      <c r="O2019" s="92"/>
      <c r="P2019" s="92"/>
    </row>
    <row r="2020" spans="1:16" s="154" customFormat="1" ht="12">
      <c r="A2020" s="92"/>
      <c r="B2020" s="92"/>
      <c r="C2020" s="92"/>
      <c r="D2020" s="92"/>
      <c r="E2020" s="92"/>
      <c r="F2020" s="92"/>
      <c r="G2020" s="92"/>
      <c r="H2020" s="92"/>
      <c r="I2020" s="92"/>
      <c r="J2020" s="92"/>
      <c r="K2020" s="92"/>
      <c r="L2020" s="92"/>
      <c r="M2020" s="92"/>
      <c r="N2020" s="92"/>
      <c r="O2020" s="92"/>
      <c r="P2020" s="92"/>
    </row>
    <row r="2021" spans="1:16" s="154" customFormat="1" ht="12">
      <c r="A2021" s="92"/>
      <c r="B2021" s="92"/>
      <c r="C2021" s="92"/>
      <c r="D2021" s="92"/>
      <c r="E2021" s="92"/>
      <c r="F2021" s="92"/>
      <c r="G2021" s="92"/>
      <c r="H2021" s="92"/>
      <c r="I2021" s="92"/>
      <c r="J2021" s="92"/>
      <c r="K2021" s="92"/>
      <c r="L2021" s="92"/>
      <c r="M2021" s="92"/>
      <c r="N2021" s="92"/>
      <c r="O2021" s="92"/>
      <c r="P2021" s="92"/>
    </row>
    <row r="2022" spans="1:16" s="154" customFormat="1" ht="12">
      <c r="A2022" s="92"/>
      <c r="B2022" s="92"/>
      <c r="C2022" s="92"/>
      <c r="D2022" s="92"/>
      <c r="E2022" s="92"/>
      <c r="F2022" s="92"/>
      <c r="G2022" s="92"/>
      <c r="H2022" s="92"/>
      <c r="I2022" s="92"/>
      <c r="J2022" s="92"/>
      <c r="K2022" s="92"/>
      <c r="L2022" s="92"/>
      <c r="M2022" s="92"/>
      <c r="N2022" s="92"/>
      <c r="O2022" s="92"/>
      <c r="P2022" s="92"/>
    </row>
    <row r="2023" spans="1:16" s="154" customFormat="1" ht="12">
      <c r="A2023" s="92"/>
      <c r="B2023" s="92"/>
      <c r="C2023" s="92"/>
      <c r="D2023" s="92"/>
      <c r="E2023" s="92"/>
      <c r="F2023" s="92"/>
      <c r="G2023" s="92"/>
      <c r="H2023" s="92"/>
      <c r="I2023" s="92"/>
      <c r="J2023" s="92"/>
      <c r="K2023" s="92"/>
      <c r="L2023" s="92"/>
      <c r="M2023" s="92"/>
      <c r="N2023" s="92"/>
      <c r="O2023" s="92"/>
      <c r="P2023" s="92"/>
    </row>
    <row r="2024" spans="1:16" s="154" customFormat="1" ht="12">
      <c r="A2024" s="92"/>
      <c r="B2024" s="92"/>
      <c r="C2024" s="92"/>
      <c r="D2024" s="92"/>
      <c r="E2024" s="92"/>
      <c r="F2024" s="92"/>
      <c r="G2024" s="92"/>
      <c r="H2024" s="92"/>
      <c r="I2024" s="92"/>
      <c r="J2024" s="92"/>
      <c r="K2024" s="92"/>
      <c r="L2024" s="92"/>
      <c r="M2024" s="92"/>
      <c r="N2024" s="92"/>
      <c r="O2024" s="92"/>
      <c r="P2024" s="92"/>
    </row>
    <row r="2025" spans="1:16" s="154" customFormat="1" ht="12">
      <c r="A2025" s="92"/>
      <c r="B2025" s="92"/>
      <c r="C2025" s="92"/>
      <c r="D2025" s="92"/>
      <c r="E2025" s="92"/>
      <c r="F2025" s="92"/>
      <c r="G2025" s="92"/>
      <c r="H2025" s="92"/>
      <c r="I2025" s="92"/>
      <c r="J2025" s="92"/>
      <c r="K2025" s="92"/>
      <c r="L2025" s="92"/>
      <c r="M2025" s="92"/>
      <c r="N2025" s="92"/>
      <c r="O2025" s="92"/>
      <c r="P2025" s="92"/>
    </row>
    <row r="2026" spans="1:16" s="154" customFormat="1" ht="12">
      <c r="A2026" s="92"/>
      <c r="B2026" s="92"/>
      <c r="C2026" s="92"/>
      <c r="D2026" s="92"/>
      <c r="E2026" s="92"/>
      <c r="F2026" s="92"/>
      <c r="G2026" s="92"/>
      <c r="H2026" s="92"/>
      <c r="I2026" s="92"/>
      <c r="J2026" s="92"/>
      <c r="K2026" s="92"/>
      <c r="L2026" s="92"/>
      <c r="M2026" s="92"/>
      <c r="N2026" s="92"/>
      <c r="O2026" s="92"/>
      <c r="P2026" s="92"/>
    </row>
    <row r="2027" spans="1:16" s="154" customFormat="1" ht="12">
      <c r="A2027" s="92"/>
      <c r="B2027" s="92"/>
      <c r="C2027" s="92"/>
      <c r="D2027" s="92"/>
      <c r="E2027" s="92"/>
      <c r="F2027" s="92"/>
      <c r="G2027" s="92"/>
      <c r="H2027" s="92"/>
      <c r="I2027" s="92"/>
      <c r="J2027" s="92"/>
      <c r="K2027" s="92"/>
      <c r="L2027" s="92"/>
      <c r="M2027" s="92"/>
      <c r="N2027" s="92"/>
      <c r="O2027" s="92"/>
      <c r="P2027" s="92"/>
    </row>
    <row r="2028" spans="1:16" s="154" customFormat="1" ht="12">
      <c r="A2028" s="92"/>
      <c r="B2028" s="92"/>
      <c r="C2028" s="92"/>
      <c r="D2028" s="92"/>
      <c r="E2028" s="92"/>
      <c r="F2028" s="92"/>
      <c r="G2028" s="92"/>
      <c r="H2028" s="92"/>
      <c r="I2028" s="92"/>
      <c r="J2028" s="92"/>
      <c r="K2028" s="92"/>
      <c r="L2028" s="92"/>
      <c r="M2028" s="92"/>
      <c r="N2028" s="92"/>
      <c r="O2028" s="92"/>
      <c r="P2028" s="92"/>
    </row>
    <row r="2029" spans="1:16" s="154" customFormat="1" ht="12">
      <c r="A2029" s="92"/>
      <c r="B2029" s="92"/>
      <c r="C2029" s="92"/>
      <c r="D2029" s="92"/>
      <c r="E2029" s="92"/>
      <c r="F2029" s="92"/>
      <c r="G2029" s="92"/>
      <c r="H2029" s="92"/>
      <c r="I2029" s="92"/>
      <c r="J2029" s="92"/>
      <c r="K2029" s="92"/>
      <c r="L2029" s="92"/>
      <c r="M2029" s="92"/>
      <c r="N2029" s="92"/>
      <c r="O2029" s="92"/>
      <c r="P2029" s="92"/>
    </row>
    <row r="2030" spans="1:16" s="154" customFormat="1" ht="12">
      <c r="A2030" s="92"/>
      <c r="B2030" s="92"/>
      <c r="C2030" s="92"/>
      <c r="D2030" s="92"/>
      <c r="E2030" s="92"/>
      <c r="F2030" s="92"/>
      <c r="G2030" s="92"/>
      <c r="H2030" s="92"/>
      <c r="I2030" s="92"/>
      <c r="J2030" s="92"/>
      <c r="K2030" s="92"/>
      <c r="L2030" s="92"/>
      <c r="M2030" s="92"/>
      <c r="N2030" s="92"/>
      <c r="O2030" s="92"/>
      <c r="P2030" s="92"/>
    </row>
    <row r="2031" spans="1:16" s="154" customFormat="1" ht="12">
      <c r="A2031" s="92"/>
      <c r="B2031" s="92"/>
      <c r="C2031" s="92"/>
      <c r="D2031" s="92"/>
      <c r="E2031" s="92"/>
      <c r="F2031" s="92"/>
      <c r="G2031" s="92"/>
      <c r="H2031" s="92"/>
      <c r="I2031" s="92"/>
      <c r="J2031" s="92"/>
      <c r="K2031" s="92"/>
      <c r="L2031" s="92"/>
      <c r="M2031" s="92"/>
      <c r="N2031" s="92"/>
      <c r="O2031" s="92"/>
      <c r="P2031" s="92"/>
    </row>
    <row r="2032" spans="1:16" s="154" customFormat="1" ht="12">
      <c r="A2032" s="92"/>
      <c r="B2032" s="92"/>
      <c r="C2032" s="92"/>
      <c r="D2032" s="92"/>
      <c r="E2032" s="92"/>
      <c r="F2032" s="92"/>
      <c r="G2032" s="92"/>
      <c r="H2032" s="92"/>
      <c r="I2032" s="92"/>
      <c r="J2032" s="92"/>
      <c r="K2032" s="92"/>
      <c r="L2032" s="92"/>
      <c r="M2032" s="92"/>
      <c r="N2032" s="92"/>
      <c r="O2032" s="92"/>
      <c r="P2032" s="92"/>
    </row>
    <row r="2033" spans="1:16" s="154" customFormat="1" ht="12">
      <c r="A2033" s="92"/>
      <c r="B2033" s="92"/>
      <c r="C2033" s="92"/>
      <c r="D2033" s="92"/>
      <c r="E2033" s="92"/>
      <c r="F2033" s="92"/>
      <c r="G2033" s="92"/>
      <c r="H2033" s="92"/>
      <c r="I2033" s="92"/>
      <c r="J2033" s="92"/>
      <c r="K2033" s="92"/>
      <c r="L2033" s="92"/>
      <c r="M2033" s="92"/>
      <c r="N2033" s="92"/>
      <c r="O2033" s="92"/>
      <c r="P2033" s="92"/>
    </row>
    <row r="2034" spans="1:16" s="154" customFormat="1" ht="12">
      <c r="A2034" s="92"/>
      <c r="B2034" s="92"/>
      <c r="C2034" s="92"/>
      <c r="D2034" s="92"/>
      <c r="E2034" s="92"/>
      <c r="F2034" s="92"/>
      <c r="G2034" s="92"/>
      <c r="H2034" s="92"/>
      <c r="I2034" s="92"/>
      <c r="J2034" s="92"/>
      <c r="K2034" s="92"/>
      <c r="L2034" s="92"/>
      <c r="M2034" s="92"/>
      <c r="N2034" s="92"/>
      <c r="O2034" s="92"/>
      <c r="P2034" s="92"/>
    </row>
    <row r="2035" spans="1:16" s="154" customFormat="1" ht="12">
      <c r="A2035" s="92"/>
      <c r="B2035" s="92"/>
      <c r="C2035" s="92"/>
      <c r="D2035" s="92"/>
      <c r="E2035" s="92"/>
      <c r="F2035" s="92"/>
      <c r="G2035" s="92"/>
      <c r="H2035" s="92"/>
      <c r="I2035" s="92"/>
      <c r="J2035" s="92"/>
      <c r="K2035" s="92"/>
      <c r="L2035" s="92"/>
      <c r="M2035" s="92"/>
      <c r="N2035" s="92"/>
      <c r="O2035" s="92"/>
      <c r="P2035" s="92"/>
    </row>
    <row r="2036" spans="1:16" s="154" customFormat="1" ht="12">
      <c r="A2036" s="92"/>
      <c r="B2036" s="92"/>
      <c r="C2036" s="92"/>
      <c r="D2036" s="92"/>
      <c r="E2036" s="92"/>
      <c r="F2036" s="92"/>
      <c r="G2036" s="92"/>
      <c r="H2036" s="92"/>
      <c r="I2036" s="92"/>
      <c r="J2036" s="92"/>
      <c r="K2036" s="92"/>
      <c r="L2036" s="92"/>
      <c r="M2036" s="92"/>
      <c r="N2036" s="92"/>
      <c r="O2036" s="92"/>
      <c r="P2036" s="92"/>
    </row>
    <row r="2037" spans="1:16" s="154" customFormat="1" ht="12">
      <c r="A2037" s="92"/>
      <c r="B2037" s="92"/>
      <c r="C2037" s="92"/>
      <c r="D2037" s="92"/>
      <c r="E2037" s="92"/>
      <c r="F2037" s="92"/>
      <c r="G2037" s="92"/>
      <c r="H2037" s="92"/>
      <c r="I2037" s="92"/>
      <c r="J2037" s="92"/>
      <c r="K2037" s="92"/>
      <c r="L2037" s="92"/>
      <c r="M2037" s="92"/>
      <c r="N2037" s="92"/>
      <c r="O2037" s="92"/>
      <c r="P2037" s="92"/>
    </row>
    <row r="2038" spans="1:16" s="154" customFormat="1" ht="12">
      <c r="A2038" s="92"/>
      <c r="B2038" s="92"/>
      <c r="C2038" s="92"/>
      <c r="D2038" s="92"/>
      <c r="E2038" s="92"/>
      <c r="F2038" s="92"/>
      <c r="G2038" s="92"/>
      <c r="H2038" s="92"/>
      <c r="I2038" s="92"/>
      <c r="J2038" s="92"/>
      <c r="K2038" s="92"/>
      <c r="L2038" s="92"/>
      <c r="M2038" s="92"/>
      <c r="N2038" s="92"/>
      <c r="O2038" s="92"/>
      <c r="P2038" s="92"/>
    </row>
    <row r="2039" spans="1:16" s="154" customFormat="1" ht="12">
      <c r="A2039" s="92"/>
      <c r="B2039" s="92"/>
      <c r="C2039" s="92"/>
      <c r="D2039" s="92"/>
      <c r="E2039" s="92"/>
      <c r="F2039" s="92"/>
      <c r="G2039" s="92"/>
      <c r="H2039" s="92"/>
      <c r="I2039" s="92"/>
      <c r="J2039" s="92"/>
      <c r="K2039" s="92"/>
      <c r="L2039" s="92"/>
      <c r="M2039" s="92"/>
      <c r="N2039" s="92"/>
      <c r="O2039" s="92"/>
      <c r="P2039" s="92"/>
    </row>
    <row r="2040" spans="1:16" s="154" customFormat="1" ht="12">
      <c r="A2040" s="92"/>
      <c r="B2040" s="92"/>
      <c r="C2040" s="92"/>
      <c r="D2040" s="92"/>
      <c r="E2040" s="92"/>
      <c r="F2040" s="92"/>
      <c r="G2040" s="92"/>
      <c r="H2040" s="92"/>
      <c r="I2040" s="92"/>
      <c r="J2040" s="92"/>
      <c r="K2040" s="92"/>
      <c r="L2040" s="92"/>
      <c r="M2040" s="92"/>
      <c r="N2040" s="92"/>
      <c r="O2040" s="92"/>
      <c r="P2040" s="92"/>
    </row>
    <row r="2041" spans="1:16" s="154" customFormat="1" ht="12">
      <c r="A2041" s="92"/>
      <c r="B2041" s="92"/>
      <c r="C2041" s="92"/>
      <c r="D2041" s="92"/>
      <c r="E2041" s="92"/>
      <c r="F2041" s="92"/>
      <c r="G2041" s="92"/>
      <c r="H2041" s="92"/>
      <c r="I2041" s="92"/>
      <c r="J2041" s="92"/>
      <c r="K2041" s="92"/>
      <c r="L2041" s="92"/>
      <c r="M2041" s="92"/>
      <c r="N2041" s="92"/>
      <c r="O2041" s="92"/>
      <c r="P2041" s="92"/>
    </row>
    <row r="2042" spans="1:16" s="154" customFormat="1" ht="12">
      <c r="A2042" s="92"/>
      <c r="B2042" s="92"/>
      <c r="C2042" s="92"/>
      <c r="D2042" s="92"/>
      <c r="E2042" s="92"/>
      <c r="F2042" s="92"/>
      <c r="G2042" s="92"/>
      <c r="H2042" s="92"/>
      <c r="I2042" s="92"/>
      <c r="J2042" s="92"/>
      <c r="K2042" s="92"/>
      <c r="L2042" s="92"/>
      <c r="M2042" s="92"/>
      <c r="N2042" s="92"/>
      <c r="O2042" s="92"/>
      <c r="P2042" s="92"/>
    </row>
    <row r="2043" spans="1:16" s="154" customFormat="1" ht="12">
      <c r="A2043" s="92"/>
      <c r="B2043" s="92"/>
      <c r="C2043" s="92"/>
      <c r="D2043" s="92"/>
      <c r="E2043" s="92"/>
      <c r="F2043" s="92"/>
      <c r="G2043" s="92"/>
      <c r="H2043" s="92"/>
      <c r="I2043" s="92"/>
      <c r="J2043" s="92"/>
      <c r="K2043" s="92"/>
      <c r="L2043" s="92"/>
      <c r="M2043" s="92"/>
      <c r="N2043" s="92"/>
      <c r="O2043" s="92"/>
      <c r="P2043" s="92"/>
    </row>
    <row r="2044" spans="1:16" s="154" customFormat="1" ht="12">
      <c r="A2044" s="92"/>
      <c r="B2044" s="92"/>
      <c r="C2044" s="92"/>
      <c r="D2044" s="92"/>
      <c r="E2044" s="92"/>
      <c r="F2044" s="92"/>
      <c r="G2044" s="92"/>
      <c r="H2044" s="92"/>
      <c r="I2044" s="92"/>
      <c r="J2044" s="92"/>
      <c r="K2044" s="92"/>
      <c r="L2044" s="92"/>
      <c r="M2044" s="92"/>
      <c r="N2044" s="92"/>
      <c r="O2044" s="92"/>
      <c r="P2044" s="92"/>
    </row>
    <row r="2045" spans="1:16" s="154" customFormat="1" ht="12">
      <c r="A2045" s="92"/>
      <c r="B2045" s="92"/>
      <c r="C2045" s="92"/>
      <c r="D2045" s="92"/>
      <c r="E2045" s="92"/>
      <c r="F2045" s="92"/>
      <c r="G2045" s="92"/>
      <c r="H2045" s="92"/>
      <c r="I2045" s="92"/>
      <c r="J2045" s="92"/>
      <c r="K2045" s="92"/>
      <c r="L2045" s="92"/>
      <c r="M2045" s="92"/>
      <c r="N2045" s="92"/>
      <c r="O2045" s="92"/>
      <c r="P2045" s="92"/>
    </row>
    <row r="2046" spans="1:16" s="154" customFormat="1" ht="12">
      <c r="A2046" s="92"/>
      <c r="B2046" s="92"/>
      <c r="C2046" s="92"/>
      <c r="D2046" s="92"/>
      <c r="E2046" s="92"/>
      <c r="F2046" s="92"/>
      <c r="G2046" s="92"/>
      <c r="H2046" s="92"/>
      <c r="I2046" s="92"/>
      <c r="J2046" s="92"/>
      <c r="K2046" s="92"/>
      <c r="L2046" s="92"/>
      <c r="M2046" s="92"/>
      <c r="N2046" s="92"/>
      <c r="O2046" s="92"/>
      <c r="P2046" s="92"/>
    </row>
    <row r="2047" spans="1:16" s="154" customFormat="1" ht="12">
      <c r="A2047" s="92"/>
      <c r="B2047" s="92"/>
      <c r="C2047" s="92"/>
      <c r="D2047" s="92"/>
      <c r="E2047" s="92"/>
      <c r="F2047" s="92"/>
      <c r="G2047" s="92"/>
      <c r="H2047" s="92"/>
      <c r="I2047" s="92"/>
      <c r="J2047" s="92"/>
      <c r="K2047" s="92"/>
      <c r="L2047" s="92"/>
      <c r="M2047" s="92"/>
      <c r="N2047" s="92"/>
      <c r="O2047" s="92"/>
      <c r="P2047" s="92"/>
    </row>
    <row r="2048" spans="1:16" s="154" customFormat="1" ht="12">
      <c r="A2048" s="92"/>
      <c r="B2048" s="92"/>
      <c r="C2048" s="92"/>
      <c r="D2048" s="92"/>
      <c r="E2048" s="92"/>
      <c r="F2048" s="92"/>
      <c r="G2048" s="92"/>
      <c r="H2048" s="92"/>
      <c r="I2048" s="92"/>
      <c r="J2048" s="92"/>
      <c r="K2048" s="92"/>
      <c r="L2048" s="92"/>
      <c r="M2048" s="92"/>
      <c r="N2048" s="92"/>
      <c r="O2048" s="92"/>
      <c r="P2048" s="92"/>
    </row>
    <row r="2049" spans="1:16" s="154" customFormat="1" ht="12">
      <c r="A2049" s="92"/>
      <c r="B2049" s="92"/>
      <c r="C2049" s="92"/>
      <c r="D2049" s="92"/>
      <c r="E2049" s="92"/>
      <c r="F2049" s="92"/>
      <c r="G2049" s="92"/>
      <c r="H2049" s="92"/>
      <c r="I2049" s="92"/>
      <c r="J2049" s="92"/>
      <c r="K2049" s="92"/>
      <c r="L2049" s="92"/>
      <c r="M2049" s="92"/>
      <c r="N2049" s="92"/>
      <c r="O2049" s="92"/>
      <c r="P2049" s="92"/>
    </row>
    <row r="2050" spans="1:16" s="154" customFormat="1" ht="12">
      <c r="A2050" s="92"/>
      <c r="B2050" s="92"/>
      <c r="C2050" s="92"/>
      <c r="D2050" s="92"/>
      <c r="E2050" s="92"/>
      <c r="F2050" s="92"/>
      <c r="G2050" s="92"/>
      <c r="H2050" s="92"/>
      <c r="I2050" s="92"/>
      <c r="J2050" s="92"/>
      <c r="K2050" s="92"/>
      <c r="L2050" s="92"/>
      <c r="M2050" s="92"/>
      <c r="N2050" s="92"/>
      <c r="O2050" s="92"/>
      <c r="P2050" s="92"/>
    </row>
    <row r="2051" spans="1:16" s="154" customFormat="1" ht="12">
      <c r="A2051" s="92"/>
      <c r="B2051" s="92"/>
      <c r="C2051" s="92"/>
      <c r="D2051" s="92"/>
      <c r="E2051" s="92"/>
      <c r="F2051" s="92"/>
      <c r="G2051" s="92"/>
      <c r="H2051" s="92"/>
      <c r="I2051" s="92"/>
      <c r="J2051" s="92"/>
      <c r="K2051" s="92"/>
      <c r="L2051" s="92"/>
      <c r="M2051" s="92"/>
      <c r="N2051" s="92"/>
      <c r="O2051" s="92"/>
      <c r="P2051" s="92"/>
    </row>
    <row r="2052" spans="1:16" s="154" customFormat="1" ht="12">
      <c r="A2052" s="92"/>
      <c r="B2052" s="92"/>
      <c r="C2052" s="92"/>
      <c r="D2052" s="92"/>
      <c r="E2052" s="92"/>
      <c r="F2052" s="92"/>
      <c r="G2052" s="92"/>
      <c r="H2052" s="92"/>
      <c r="I2052" s="92"/>
      <c r="J2052" s="92"/>
      <c r="K2052" s="92"/>
      <c r="L2052" s="92"/>
      <c r="M2052" s="92"/>
      <c r="N2052" s="92"/>
      <c r="O2052" s="92"/>
      <c r="P2052" s="92"/>
    </row>
    <row r="2053" spans="1:16" s="154" customFormat="1" ht="12">
      <c r="A2053" s="92"/>
      <c r="B2053" s="92"/>
      <c r="C2053" s="92"/>
      <c r="D2053" s="92"/>
      <c r="E2053" s="92"/>
      <c r="F2053" s="92"/>
      <c r="G2053" s="92"/>
      <c r="H2053" s="92"/>
      <c r="I2053" s="92"/>
      <c r="J2053" s="92"/>
      <c r="K2053" s="92"/>
      <c r="L2053" s="92"/>
      <c r="M2053" s="92"/>
      <c r="N2053" s="92"/>
      <c r="O2053" s="92"/>
      <c r="P2053" s="92"/>
    </row>
    <row r="2054" spans="1:16" s="154" customFormat="1" ht="12">
      <c r="A2054" s="92"/>
      <c r="B2054" s="92"/>
      <c r="C2054" s="92"/>
      <c r="D2054" s="92"/>
      <c r="E2054" s="92"/>
      <c r="F2054" s="92"/>
      <c r="G2054" s="92"/>
      <c r="H2054" s="92"/>
      <c r="I2054" s="92"/>
      <c r="J2054" s="92"/>
      <c r="K2054" s="92"/>
      <c r="L2054" s="92"/>
      <c r="M2054" s="92"/>
      <c r="N2054" s="92"/>
      <c r="O2054" s="92"/>
      <c r="P2054" s="92"/>
    </row>
    <row r="2055" spans="1:16" s="154" customFormat="1" ht="12">
      <c r="A2055" s="92"/>
      <c r="B2055" s="92"/>
      <c r="C2055" s="92"/>
      <c r="D2055" s="92"/>
      <c r="E2055" s="92"/>
      <c r="F2055" s="92"/>
      <c r="G2055" s="92"/>
      <c r="H2055" s="92"/>
      <c r="I2055" s="92"/>
      <c r="J2055" s="92"/>
      <c r="K2055" s="92"/>
      <c r="L2055" s="92"/>
      <c r="M2055" s="92"/>
      <c r="N2055" s="92"/>
      <c r="O2055" s="92"/>
      <c r="P2055" s="92"/>
    </row>
    <row r="2056" spans="1:16" s="154" customFormat="1" ht="12">
      <c r="A2056" s="92"/>
      <c r="B2056" s="92"/>
      <c r="C2056" s="92"/>
      <c r="D2056" s="92"/>
      <c r="E2056" s="92"/>
      <c r="F2056" s="92"/>
      <c r="G2056" s="92"/>
      <c r="H2056" s="92"/>
      <c r="I2056" s="92"/>
      <c r="J2056" s="92"/>
      <c r="K2056" s="92"/>
      <c r="L2056" s="92"/>
      <c r="M2056" s="92"/>
      <c r="N2056" s="92"/>
      <c r="O2056" s="92"/>
      <c r="P2056" s="92"/>
    </row>
    <row r="2057" spans="1:16" s="154" customFormat="1" ht="12">
      <c r="A2057" s="92"/>
      <c r="B2057" s="92"/>
      <c r="C2057" s="92"/>
      <c r="D2057" s="92"/>
      <c r="E2057" s="92"/>
      <c r="F2057" s="92"/>
      <c r="G2057" s="92"/>
      <c r="H2057" s="92"/>
      <c r="I2057" s="92"/>
      <c r="J2057" s="92"/>
      <c r="K2057" s="92"/>
      <c r="L2057" s="92"/>
      <c r="M2057" s="92"/>
      <c r="N2057" s="92"/>
      <c r="O2057" s="92"/>
      <c r="P2057" s="92"/>
    </row>
    <row r="2058" spans="1:16" s="154" customFormat="1" ht="12">
      <c r="A2058" s="92"/>
      <c r="B2058" s="92"/>
      <c r="C2058" s="92"/>
      <c r="D2058" s="92"/>
      <c r="E2058" s="92"/>
      <c r="F2058" s="92"/>
      <c r="G2058" s="92"/>
      <c r="H2058" s="92"/>
      <c r="I2058" s="92"/>
      <c r="J2058" s="92"/>
      <c r="K2058" s="92"/>
      <c r="L2058" s="92"/>
      <c r="M2058" s="92"/>
      <c r="N2058" s="92"/>
      <c r="O2058" s="92"/>
      <c r="P2058" s="92"/>
    </row>
    <row r="2059" spans="1:16" s="154" customFormat="1" ht="12">
      <c r="A2059" s="92"/>
      <c r="B2059" s="92"/>
      <c r="C2059" s="92"/>
      <c r="D2059" s="92"/>
      <c r="E2059" s="92"/>
      <c r="F2059" s="92"/>
      <c r="G2059" s="92"/>
      <c r="H2059" s="92"/>
      <c r="I2059" s="92"/>
      <c r="J2059" s="92"/>
      <c r="K2059" s="92"/>
      <c r="L2059" s="92"/>
      <c r="M2059" s="92"/>
      <c r="N2059" s="92"/>
      <c r="O2059" s="92"/>
      <c r="P2059" s="92"/>
    </row>
    <row r="2060" spans="1:16" s="154" customFormat="1" ht="12">
      <c r="A2060" s="92"/>
      <c r="B2060" s="92"/>
      <c r="C2060" s="92"/>
      <c r="D2060" s="92"/>
      <c r="E2060" s="92"/>
      <c r="F2060" s="92"/>
      <c r="G2060" s="92"/>
      <c r="H2060" s="92"/>
      <c r="I2060" s="92"/>
      <c r="J2060" s="92"/>
      <c r="K2060" s="92"/>
      <c r="L2060" s="92"/>
      <c r="M2060" s="92"/>
      <c r="N2060" s="92"/>
      <c r="O2060" s="92"/>
      <c r="P2060" s="92"/>
    </row>
    <row r="2061" spans="1:16" s="154" customFormat="1" ht="12">
      <c r="A2061" s="92"/>
      <c r="B2061" s="92"/>
      <c r="C2061" s="92"/>
      <c r="D2061" s="92"/>
      <c r="E2061" s="92"/>
      <c r="F2061" s="92"/>
      <c r="G2061" s="92"/>
      <c r="H2061" s="92"/>
      <c r="I2061" s="92"/>
      <c r="J2061" s="92"/>
      <c r="K2061" s="92"/>
      <c r="L2061" s="92"/>
      <c r="M2061" s="92"/>
      <c r="N2061" s="92"/>
      <c r="O2061" s="92"/>
      <c r="P2061" s="92"/>
    </row>
    <row r="2062" spans="1:16" s="154" customFormat="1" ht="12">
      <c r="A2062" s="92"/>
      <c r="B2062" s="92"/>
      <c r="C2062" s="92"/>
      <c r="D2062" s="92"/>
      <c r="E2062" s="92"/>
      <c r="F2062" s="92"/>
      <c r="G2062" s="92"/>
      <c r="H2062" s="92"/>
      <c r="I2062" s="92"/>
      <c r="J2062" s="92"/>
      <c r="K2062" s="92"/>
      <c r="L2062" s="92"/>
      <c r="M2062" s="92"/>
      <c r="N2062" s="92"/>
      <c r="O2062" s="92"/>
      <c r="P2062" s="92"/>
    </row>
    <row r="2063" spans="1:16" s="154" customFormat="1" ht="12">
      <c r="A2063" s="92"/>
      <c r="B2063" s="92"/>
      <c r="C2063" s="92"/>
      <c r="D2063" s="92"/>
      <c r="E2063" s="92"/>
      <c r="F2063" s="92"/>
      <c r="G2063" s="92"/>
      <c r="H2063" s="92"/>
      <c r="I2063" s="92"/>
      <c r="J2063" s="92"/>
      <c r="K2063" s="92"/>
      <c r="L2063" s="92"/>
      <c r="M2063" s="92"/>
      <c r="N2063" s="92"/>
      <c r="O2063" s="92"/>
      <c r="P2063" s="92"/>
    </row>
    <row r="2064" spans="1:16" s="154" customFormat="1" ht="12">
      <c r="A2064" s="92"/>
      <c r="B2064" s="92"/>
      <c r="C2064" s="92"/>
      <c r="D2064" s="92"/>
      <c r="E2064" s="92"/>
      <c r="F2064" s="92"/>
      <c r="G2064" s="92"/>
      <c r="H2064" s="92"/>
      <c r="I2064" s="92"/>
      <c r="J2064" s="92"/>
      <c r="K2064" s="92"/>
      <c r="L2064" s="92"/>
      <c r="M2064" s="92"/>
      <c r="N2064" s="92"/>
      <c r="O2064" s="92"/>
      <c r="P2064" s="92"/>
    </row>
    <row r="2065" spans="1:16" s="154" customFormat="1" ht="12">
      <c r="A2065" s="92"/>
      <c r="B2065" s="92"/>
      <c r="C2065" s="92"/>
      <c r="D2065" s="92"/>
      <c r="E2065" s="92"/>
      <c r="F2065" s="92"/>
      <c r="G2065" s="92"/>
      <c r="H2065" s="92"/>
      <c r="I2065" s="92"/>
      <c r="J2065" s="92"/>
      <c r="K2065" s="92"/>
      <c r="L2065" s="92"/>
      <c r="M2065" s="92"/>
      <c r="N2065" s="92"/>
      <c r="O2065" s="92"/>
      <c r="P2065" s="92"/>
    </row>
    <row r="2066" spans="1:16" s="154" customFormat="1" ht="12">
      <c r="A2066" s="92"/>
      <c r="B2066" s="92"/>
      <c r="C2066" s="92"/>
      <c r="D2066" s="92"/>
      <c r="E2066" s="92"/>
      <c r="F2066" s="92"/>
      <c r="G2066" s="92"/>
      <c r="H2066" s="92"/>
      <c r="I2066" s="92"/>
      <c r="J2066" s="92"/>
      <c r="K2066" s="92"/>
      <c r="L2066" s="92"/>
      <c r="M2066" s="92"/>
      <c r="N2066" s="92"/>
      <c r="O2066" s="92"/>
      <c r="P2066" s="92"/>
    </row>
    <row r="2067" spans="1:16" s="154" customFormat="1" ht="12">
      <c r="A2067" s="92"/>
      <c r="B2067" s="92"/>
      <c r="C2067" s="92"/>
      <c r="D2067" s="92"/>
      <c r="E2067" s="92"/>
      <c r="F2067" s="92"/>
      <c r="G2067" s="92"/>
      <c r="H2067" s="92"/>
      <c r="I2067" s="92"/>
      <c r="J2067" s="92"/>
      <c r="K2067" s="92"/>
      <c r="L2067" s="92"/>
      <c r="M2067" s="92"/>
      <c r="N2067" s="92"/>
      <c r="O2067" s="92"/>
      <c r="P2067" s="92"/>
    </row>
    <row r="2068" spans="1:16" s="154" customFormat="1" ht="12">
      <c r="A2068" s="92"/>
      <c r="B2068" s="92"/>
      <c r="C2068" s="92"/>
      <c r="D2068" s="92"/>
      <c r="E2068" s="92"/>
      <c r="F2068" s="92"/>
      <c r="G2068" s="92"/>
      <c r="H2068" s="92"/>
      <c r="I2068" s="92"/>
      <c r="J2068" s="92"/>
      <c r="K2068" s="92"/>
      <c r="L2068" s="92"/>
      <c r="M2068" s="92"/>
      <c r="N2068" s="92"/>
      <c r="O2068" s="92"/>
      <c r="P2068" s="92"/>
    </row>
    <row r="2069" spans="1:16" s="154" customFormat="1" ht="12">
      <c r="A2069" s="92"/>
      <c r="B2069" s="92"/>
      <c r="C2069" s="92"/>
      <c r="D2069" s="92"/>
      <c r="E2069" s="92"/>
      <c r="F2069" s="92"/>
      <c r="G2069" s="92"/>
      <c r="H2069" s="92"/>
      <c r="I2069" s="92"/>
      <c r="J2069" s="92"/>
      <c r="K2069" s="92"/>
      <c r="L2069" s="92"/>
      <c r="M2069" s="92"/>
      <c r="N2069" s="92"/>
      <c r="O2069" s="92"/>
      <c r="P2069" s="92"/>
    </row>
    <row r="2070" spans="1:16" s="154" customFormat="1" ht="12">
      <c r="A2070" s="92"/>
      <c r="B2070" s="92"/>
      <c r="C2070" s="92"/>
      <c r="D2070" s="92"/>
      <c r="E2070" s="92"/>
      <c r="F2070" s="92"/>
      <c r="G2070" s="92"/>
      <c r="H2070" s="92"/>
      <c r="I2070" s="92"/>
      <c r="J2070" s="92"/>
      <c r="K2070" s="92"/>
      <c r="L2070" s="92"/>
      <c r="M2070" s="92"/>
      <c r="N2070" s="92"/>
      <c r="O2070" s="92"/>
      <c r="P2070" s="92"/>
    </row>
    <row r="2071" spans="1:16" s="154" customFormat="1" ht="12">
      <c r="A2071" s="92"/>
      <c r="B2071" s="92"/>
      <c r="C2071" s="92"/>
      <c r="D2071" s="92"/>
      <c r="E2071" s="92"/>
      <c r="F2071" s="92"/>
      <c r="G2071" s="92"/>
      <c r="H2071" s="92"/>
      <c r="I2071" s="92"/>
      <c r="J2071" s="92"/>
      <c r="K2071" s="92"/>
      <c r="L2071" s="92"/>
      <c r="M2071" s="92"/>
      <c r="N2071" s="92"/>
      <c r="O2071" s="92"/>
      <c r="P2071" s="92"/>
    </row>
    <row r="2072" spans="1:16" s="154" customFormat="1" ht="12">
      <c r="A2072" s="92"/>
      <c r="B2072" s="92"/>
      <c r="C2072" s="92"/>
      <c r="D2072" s="92"/>
      <c r="E2072" s="92"/>
      <c r="F2072" s="92"/>
      <c r="G2072" s="92"/>
      <c r="H2072" s="92"/>
      <c r="I2072" s="92"/>
      <c r="J2072" s="92"/>
      <c r="K2072" s="92"/>
      <c r="L2072" s="92"/>
      <c r="M2072" s="92"/>
      <c r="N2072" s="92"/>
      <c r="O2072" s="92"/>
      <c r="P2072" s="92"/>
    </row>
    <row r="2073" spans="1:16" s="154" customFormat="1" ht="12">
      <c r="A2073" s="92"/>
      <c r="B2073" s="92"/>
      <c r="C2073" s="92"/>
      <c r="D2073" s="92"/>
      <c r="E2073" s="92"/>
      <c r="F2073" s="92"/>
      <c r="G2073" s="92"/>
      <c r="H2073" s="92"/>
      <c r="I2073" s="92"/>
      <c r="J2073" s="92"/>
      <c r="K2073" s="92"/>
      <c r="L2073" s="92"/>
      <c r="M2073" s="92"/>
      <c r="N2073" s="92"/>
      <c r="O2073" s="92"/>
      <c r="P2073" s="92"/>
    </row>
    <row r="2074" spans="1:16" s="154" customFormat="1" ht="12">
      <c r="A2074" s="92"/>
      <c r="B2074" s="92"/>
      <c r="C2074" s="92"/>
      <c r="D2074" s="92"/>
      <c r="E2074" s="92"/>
      <c r="F2074" s="92"/>
      <c r="G2074" s="92"/>
      <c r="H2074" s="92"/>
      <c r="I2074" s="92"/>
      <c r="J2074" s="92"/>
      <c r="K2074" s="92"/>
      <c r="L2074" s="92"/>
      <c r="M2074" s="92"/>
      <c r="N2074" s="92"/>
      <c r="O2074" s="92"/>
      <c r="P2074" s="92"/>
    </row>
    <row r="2075" spans="1:16" s="154" customFormat="1" ht="12">
      <c r="A2075" s="92"/>
      <c r="B2075" s="92"/>
      <c r="C2075" s="92"/>
      <c r="D2075" s="92"/>
      <c r="E2075" s="92"/>
      <c r="F2075" s="92"/>
      <c r="G2075" s="92"/>
      <c r="H2075" s="92"/>
      <c r="I2075" s="92"/>
      <c r="J2075" s="92"/>
      <c r="K2075" s="92"/>
      <c r="L2075" s="92"/>
      <c r="M2075" s="92"/>
      <c r="N2075" s="92"/>
      <c r="O2075" s="92"/>
      <c r="P2075" s="92"/>
    </row>
    <row r="2076" spans="1:16" s="154" customFormat="1" ht="12">
      <c r="A2076" s="92"/>
      <c r="B2076" s="92"/>
      <c r="C2076" s="92"/>
      <c r="D2076" s="92"/>
      <c r="E2076" s="92"/>
      <c r="F2076" s="92"/>
      <c r="G2076" s="92"/>
      <c r="H2076" s="92"/>
      <c r="I2076" s="92"/>
      <c r="J2076" s="92"/>
      <c r="K2076" s="92"/>
      <c r="L2076" s="92"/>
      <c r="M2076" s="92"/>
      <c r="N2076" s="92"/>
      <c r="O2076" s="92"/>
      <c r="P2076" s="92"/>
    </row>
    <row r="2077" spans="1:16" s="154" customFormat="1" ht="12">
      <c r="A2077" s="92"/>
      <c r="B2077" s="92"/>
      <c r="C2077" s="92"/>
      <c r="D2077" s="92"/>
      <c r="E2077" s="92"/>
      <c r="F2077" s="92"/>
      <c r="G2077" s="92"/>
      <c r="H2077" s="92"/>
      <c r="I2077" s="92"/>
      <c r="J2077" s="92"/>
      <c r="K2077" s="92"/>
      <c r="L2077" s="92"/>
      <c r="M2077" s="92"/>
      <c r="N2077" s="92"/>
      <c r="O2077" s="92"/>
      <c r="P2077" s="92"/>
    </row>
    <row r="2078" spans="1:16" s="154" customFormat="1" ht="12">
      <c r="A2078" s="92"/>
      <c r="B2078" s="92"/>
      <c r="C2078" s="92"/>
      <c r="D2078" s="92"/>
      <c r="E2078" s="92"/>
      <c r="F2078" s="92"/>
      <c r="G2078" s="92"/>
      <c r="H2078" s="92"/>
      <c r="I2078" s="92"/>
      <c r="J2078" s="92"/>
      <c r="K2078" s="92"/>
      <c r="L2078" s="92"/>
      <c r="M2078" s="92"/>
      <c r="N2078" s="92"/>
      <c r="O2078" s="92"/>
      <c r="P2078" s="92"/>
    </row>
    <row r="2079" spans="1:16" s="154" customFormat="1" ht="12">
      <c r="A2079" s="92"/>
      <c r="B2079" s="92"/>
      <c r="C2079" s="92"/>
      <c r="D2079" s="92"/>
      <c r="E2079" s="92"/>
      <c r="F2079" s="92"/>
      <c r="G2079" s="92"/>
      <c r="H2079" s="92"/>
      <c r="I2079" s="92"/>
      <c r="J2079" s="92"/>
      <c r="K2079" s="92"/>
      <c r="L2079" s="92"/>
      <c r="M2079" s="92"/>
      <c r="N2079" s="92"/>
      <c r="O2079" s="92"/>
      <c r="P2079" s="92"/>
    </row>
    <row r="2080" spans="1:16" s="154" customFormat="1" ht="12">
      <c r="A2080" s="92"/>
      <c r="B2080" s="92"/>
      <c r="C2080" s="92"/>
      <c r="D2080" s="92"/>
      <c r="E2080" s="92"/>
      <c r="F2080" s="92"/>
      <c r="G2080" s="92"/>
      <c r="H2080" s="92"/>
      <c r="I2080" s="92"/>
      <c r="J2080" s="92"/>
      <c r="K2080" s="92"/>
      <c r="L2080" s="92"/>
      <c r="M2080" s="92"/>
      <c r="N2080" s="92"/>
      <c r="O2080" s="92"/>
      <c r="P2080" s="92"/>
    </row>
    <row r="2081" spans="1:16" s="154" customFormat="1" ht="12">
      <c r="A2081" s="92"/>
      <c r="B2081" s="92"/>
      <c r="C2081" s="92"/>
      <c r="D2081" s="92"/>
      <c r="E2081" s="92"/>
      <c r="F2081" s="92"/>
      <c r="G2081" s="92"/>
      <c r="H2081" s="92"/>
      <c r="I2081" s="92"/>
      <c r="J2081" s="92"/>
      <c r="K2081" s="92"/>
      <c r="L2081" s="92"/>
      <c r="M2081" s="92"/>
      <c r="N2081" s="92"/>
      <c r="O2081" s="92"/>
      <c r="P2081" s="92"/>
    </row>
    <row r="2082" spans="1:16" s="154" customFormat="1" ht="12">
      <c r="A2082" s="92"/>
      <c r="B2082" s="92"/>
      <c r="C2082" s="92"/>
      <c r="D2082" s="92"/>
      <c r="E2082" s="92"/>
      <c r="F2082" s="92"/>
      <c r="G2082" s="92"/>
      <c r="H2082" s="92"/>
      <c r="I2082" s="92"/>
      <c r="J2082" s="92"/>
      <c r="K2082" s="92"/>
      <c r="L2082" s="92"/>
      <c r="M2082" s="92"/>
      <c r="N2082" s="92"/>
      <c r="O2082" s="92"/>
      <c r="P2082" s="92"/>
    </row>
    <row r="2083" spans="1:16" s="154" customFormat="1" ht="12">
      <c r="A2083" s="92"/>
      <c r="B2083" s="92"/>
      <c r="C2083" s="92"/>
      <c r="D2083" s="92"/>
      <c r="E2083" s="92"/>
      <c r="F2083" s="92"/>
      <c r="G2083" s="92"/>
      <c r="H2083" s="92"/>
      <c r="I2083" s="92"/>
      <c r="J2083" s="92"/>
      <c r="K2083" s="92"/>
      <c r="L2083" s="92"/>
      <c r="M2083" s="92"/>
      <c r="N2083" s="92"/>
      <c r="O2083" s="92"/>
      <c r="P2083" s="92"/>
    </row>
    <row r="2084" spans="1:16" s="154" customFormat="1" ht="12">
      <c r="A2084" s="92"/>
      <c r="B2084" s="92"/>
      <c r="C2084" s="92"/>
      <c r="D2084" s="92"/>
      <c r="E2084" s="92"/>
      <c r="F2084" s="92"/>
      <c r="G2084" s="92"/>
      <c r="H2084" s="92"/>
      <c r="I2084" s="92"/>
      <c r="J2084" s="92"/>
      <c r="K2084" s="92"/>
      <c r="L2084" s="92"/>
      <c r="M2084" s="92"/>
      <c r="N2084" s="92"/>
      <c r="O2084" s="92"/>
      <c r="P2084" s="92"/>
    </row>
    <row r="2085" spans="1:16" s="154" customFormat="1" ht="12">
      <c r="A2085" s="92"/>
      <c r="B2085" s="92"/>
      <c r="C2085" s="92"/>
      <c r="D2085" s="92"/>
      <c r="E2085" s="92"/>
      <c r="F2085" s="92"/>
      <c r="G2085" s="92"/>
      <c r="H2085" s="92"/>
      <c r="I2085" s="92"/>
      <c r="J2085" s="92"/>
      <c r="K2085" s="92"/>
      <c r="L2085" s="92"/>
      <c r="M2085" s="92"/>
      <c r="N2085" s="92"/>
      <c r="O2085" s="92"/>
      <c r="P2085" s="92"/>
    </row>
    <row r="2086" spans="1:16" s="154" customFormat="1" ht="12">
      <c r="A2086" s="92"/>
      <c r="B2086" s="92"/>
      <c r="C2086" s="92"/>
      <c r="D2086" s="92"/>
      <c r="E2086" s="92"/>
      <c r="F2086" s="92"/>
      <c r="G2086" s="92"/>
      <c r="H2086" s="92"/>
      <c r="I2086" s="92"/>
      <c r="J2086" s="92"/>
      <c r="K2086" s="92"/>
      <c r="L2086" s="92"/>
      <c r="M2086" s="92"/>
      <c r="N2086" s="92"/>
      <c r="O2086" s="92"/>
      <c r="P2086" s="92"/>
    </row>
    <row r="2087" spans="1:16" s="154" customFormat="1" ht="12">
      <c r="A2087" s="92"/>
      <c r="B2087" s="92"/>
      <c r="C2087" s="92"/>
      <c r="D2087" s="92"/>
      <c r="E2087" s="92"/>
      <c r="F2087" s="92"/>
      <c r="G2087" s="92"/>
      <c r="H2087" s="92"/>
      <c r="I2087" s="92"/>
      <c r="J2087" s="92"/>
      <c r="K2087" s="92"/>
      <c r="L2087" s="92"/>
      <c r="M2087" s="92"/>
      <c r="N2087" s="92"/>
      <c r="O2087" s="92"/>
      <c r="P2087" s="92"/>
    </row>
    <row r="2088" spans="1:16" s="154" customFormat="1" ht="12">
      <c r="A2088" s="92"/>
      <c r="B2088" s="92"/>
      <c r="C2088" s="92"/>
      <c r="D2088" s="92"/>
      <c r="E2088" s="92"/>
      <c r="F2088" s="92"/>
      <c r="G2088" s="92"/>
      <c r="H2088" s="92"/>
      <c r="I2088" s="92"/>
      <c r="J2088" s="92"/>
      <c r="K2088" s="92"/>
      <c r="L2088" s="92"/>
      <c r="M2088" s="92"/>
      <c r="N2088" s="92"/>
      <c r="O2088" s="92"/>
      <c r="P2088" s="92"/>
    </row>
    <row r="2089" spans="1:16" s="154" customFormat="1" ht="12">
      <c r="A2089" s="92"/>
      <c r="B2089" s="92"/>
      <c r="C2089" s="92"/>
      <c r="D2089" s="92"/>
      <c r="E2089" s="92"/>
      <c r="F2089" s="92"/>
      <c r="G2089" s="92"/>
      <c r="H2089" s="92"/>
      <c r="I2089" s="92"/>
      <c r="J2089" s="92"/>
      <c r="K2089" s="92"/>
      <c r="L2089" s="92"/>
      <c r="M2089" s="92"/>
      <c r="N2089" s="92"/>
      <c r="O2089" s="92"/>
      <c r="P2089" s="92"/>
    </row>
    <row r="2090" spans="1:16" s="154" customFormat="1" ht="12">
      <c r="A2090" s="92"/>
      <c r="B2090" s="92"/>
      <c r="C2090" s="92"/>
      <c r="D2090" s="92"/>
      <c r="E2090" s="92"/>
      <c r="F2090" s="92"/>
      <c r="G2090" s="92"/>
      <c r="H2090" s="92"/>
      <c r="I2090" s="92"/>
      <c r="J2090" s="92"/>
      <c r="K2090" s="92"/>
      <c r="L2090" s="92"/>
      <c r="M2090" s="92"/>
      <c r="N2090" s="92"/>
      <c r="O2090" s="92"/>
      <c r="P2090" s="92"/>
    </row>
    <row r="2091" spans="1:16" s="154" customFormat="1" ht="12">
      <c r="A2091" s="92"/>
      <c r="B2091" s="92"/>
      <c r="C2091" s="92"/>
      <c r="D2091" s="92"/>
      <c r="E2091" s="92"/>
      <c r="F2091" s="92"/>
      <c r="G2091" s="92"/>
      <c r="H2091" s="92"/>
      <c r="I2091" s="92"/>
      <c r="J2091" s="92"/>
      <c r="K2091" s="92"/>
      <c r="L2091" s="92"/>
      <c r="M2091" s="92"/>
      <c r="N2091" s="92"/>
      <c r="O2091" s="92"/>
      <c r="P2091" s="92"/>
    </row>
    <row r="2092" spans="1:16" s="154" customFormat="1" ht="12">
      <c r="A2092" s="92"/>
      <c r="B2092" s="92"/>
      <c r="C2092" s="92"/>
      <c r="D2092" s="92"/>
      <c r="E2092" s="92"/>
      <c r="F2092" s="92"/>
      <c r="G2092" s="92"/>
      <c r="H2092" s="92"/>
      <c r="I2092" s="92"/>
      <c r="J2092" s="92"/>
      <c r="K2092" s="92"/>
      <c r="L2092" s="92"/>
      <c r="M2092" s="92"/>
      <c r="N2092" s="92"/>
      <c r="O2092" s="92"/>
      <c r="P2092" s="92"/>
    </row>
    <row r="2093" spans="1:16" s="154" customFormat="1" ht="12">
      <c r="A2093" s="92"/>
      <c r="B2093" s="92"/>
      <c r="C2093" s="92"/>
      <c r="D2093" s="92"/>
      <c r="E2093" s="92"/>
      <c r="F2093" s="92"/>
      <c r="G2093" s="92"/>
      <c r="H2093" s="92"/>
      <c r="I2093" s="92"/>
      <c r="J2093" s="92"/>
      <c r="K2093" s="92"/>
      <c r="L2093" s="92"/>
      <c r="M2093" s="92"/>
      <c r="N2093" s="92"/>
      <c r="O2093" s="92"/>
      <c r="P2093" s="92"/>
    </row>
    <row r="2094" spans="1:16" s="154" customFormat="1" ht="12">
      <c r="A2094" s="92"/>
      <c r="B2094" s="92"/>
      <c r="C2094" s="92"/>
      <c r="D2094" s="92"/>
      <c r="E2094" s="92"/>
      <c r="F2094" s="92"/>
      <c r="G2094" s="92"/>
      <c r="H2094" s="92"/>
      <c r="I2094" s="92"/>
      <c r="J2094" s="92"/>
      <c r="K2094" s="92"/>
      <c r="L2094" s="92"/>
      <c r="M2094" s="92"/>
      <c r="N2094" s="92"/>
      <c r="O2094" s="92"/>
      <c r="P2094" s="92"/>
    </row>
    <row r="2095" spans="1:16" s="154" customFormat="1" ht="12">
      <c r="A2095" s="92"/>
      <c r="B2095" s="92"/>
      <c r="C2095" s="92"/>
      <c r="D2095" s="92"/>
      <c r="E2095" s="92"/>
      <c r="F2095" s="92"/>
      <c r="G2095" s="92"/>
      <c r="H2095" s="92"/>
      <c r="I2095" s="92"/>
      <c r="J2095" s="92"/>
      <c r="K2095" s="92"/>
      <c r="L2095" s="92"/>
      <c r="M2095" s="92"/>
      <c r="N2095" s="92"/>
      <c r="O2095" s="92"/>
      <c r="P2095" s="92"/>
    </row>
    <row r="2096" spans="1:16" s="154" customFormat="1" ht="12">
      <c r="A2096" s="92"/>
      <c r="B2096" s="92"/>
      <c r="C2096" s="92"/>
      <c r="D2096" s="92"/>
      <c r="E2096" s="92"/>
      <c r="F2096" s="92"/>
      <c r="G2096" s="92"/>
      <c r="H2096" s="92"/>
      <c r="I2096" s="92"/>
      <c r="J2096" s="92"/>
      <c r="K2096" s="92"/>
      <c r="L2096" s="92"/>
      <c r="M2096" s="92"/>
      <c r="N2096" s="92"/>
      <c r="O2096" s="92"/>
      <c r="P2096" s="92"/>
    </row>
    <row r="2097" spans="1:16" s="154" customFormat="1" ht="12">
      <c r="A2097" s="92"/>
      <c r="B2097" s="92"/>
      <c r="C2097" s="92"/>
      <c r="D2097" s="92"/>
      <c r="E2097" s="92"/>
      <c r="F2097" s="92"/>
      <c r="G2097" s="92"/>
      <c r="H2097" s="92"/>
      <c r="I2097" s="92"/>
      <c r="J2097" s="92"/>
      <c r="K2097" s="92"/>
      <c r="L2097" s="92"/>
      <c r="M2097" s="92"/>
      <c r="N2097" s="92"/>
      <c r="O2097" s="92"/>
      <c r="P2097" s="92"/>
    </row>
    <row r="2098" spans="1:16" s="154" customFormat="1" ht="12">
      <c r="A2098" s="92"/>
      <c r="B2098" s="92"/>
      <c r="C2098" s="92"/>
      <c r="D2098" s="92"/>
      <c r="E2098" s="92"/>
      <c r="F2098" s="92"/>
      <c r="G2098" s="92"/>
      <c r="H2098" s="92"/>
      <c r="I2098" s="92"/>
      <c r="J2098" s="92"/>
      <c r="K2098" s="92"/>
      <c r="L2098" s="92"/>
      <c r="M2098" s="92"/>
      <c r="N2098" s="92"/>
      <c r="O2098" s="92"/>
      <c r="P2098" s="92"/>
    </row>
    <row r="2099" spans="1:16" s="154" customFormat="1" ht="12">
      <c r="A2099" s="92"/>
      <c r="B2099" s="92"/>
      <c r="C2099" s="92"/>
      <c r="D2099" s="92"/>
      <c r="E2099" s="92"/>
      <c r="F2099" s="92"/>
      <c r="G2099" s="92"/>
      <c r="H2099" s="92"/>
      <c r="I2099" s="92"/>
      <c r="J2099" s="92"/>
      <c r="K2099" s="92"/>
      <c r="L2099" s="92"/>
      <c r="M2099" s="92"/>
      <c r="N2099" s="92"/>
      <c r="O2099" s="92"/>
      <c r="P2099" s="92"/>
    </row>
    <row r="2100" spans="1:16" s="154" customFormat="1" ht="12">
      <c r="A2100" s="92"/>
      <c r="B2100" s="92"/>
      <c r="C2100" s="92"/>
      <c r="D2100" s="92"/>
      <c r="E2100" s="92"/>
      <c r="F2100" s="92"/>
      <c r="G2100" s="92"/>
      <c r="H2100" s="92"/>
      <c r="I2100" s="92"/>
      <c r="J2100" s="92"/>
      <c r="K2100" s="92"/>
      <c r="L2100" s="92"/>
      <c r="M2100" s="92"/>
      <c r="N2100" s="92"/>
      <c r="O2100" s="92"/>
      <c r="P2100" s="92"/>
    </row>
    <row r="2101" spans="1:16" s="154" customFormat="1" ht="12">
      <c r="A2101" s="92"/>
      <c r="B2101" s="92"/>
      <c r="C2101" s="92"/>
      <c r="D2101" s="92"/>
      <c r="E2101" s="92"/>
      <c r="F2101" s="92"/>
      <c r="G2101" s="92"/>
      <c r="H2101" s="92"/>
      <c r="I2101" s="92"/>
      <c r="J2101" s="92"/>
      <c r="K2101" s="92"/>
      <c r="L2101" s="92"/>
      <c r="M2101" s="92"/>
      <c r="N2101" s="92"/>
      <c r="O2101" s="92"/>
      <c r="P2101" s="92"/>
    </row>
    <row r="2102" spans="1:16" s="154" customFormat="1" ht="12">
      <c r="A2102" s="92"/>
      <c r="B2102" s="92"/>
      <c r="C2102" s="92"/>
      <c r="D2102" s="92"/>
      <c r="E2102" s="92"/>
      <c r="F2102" s="92"/>
      <c r="G2102" s="92"/>
      <c r="H2102" s="92"/>
      <c r="I2102" s="92"/>
      <c r="J2102" s="92"/>
      <c r="K2102" s="92"/>
      <c r="L2102" s="92"/>
      <c r="M2102" s="92"/>
      <c r="N2102" s="92"/>
      <c r="O2102" s="92"/>
      <c r="P2102" s="92"/>
    </row>
    <row r="2103" spans="1:16" s="154" customFormat="1" ht="12">
      <c r="A2103" s="92"/>
      <c r="B2103" s="92"/>
      <c r="C2103" s="92"/>
      <c r="D2103" s="92"/>
      <c r="E2103" s="92"/>
      <c r="F2103" s="92"/>
      <c r="G2103" s="92"/>
      <c r="H2103" s="92"/>
      <c r="I2103" s="92"/>
      <c r="J2103" s="92"/>
      <c r="K2103" s="92"/>
      <c r="L2103" s="92"/>
      <c r="M2103" s="92"/>
      <c r="N2103" s="92"/>
      <c r="O2103" s="92"/>
      <c r="P2103" s="92"/>
    </row>
    <row r="2104" spans="1:16" s="154" customFormat="1" ht="12">
      <c r="A2104" s="92"/>
      <c r="B2104" s="92"/>
      <c r="C2104" s="92"/>
      <c r="D2104" s="92"/>
      <c r="E2104" s="92"/>
      <c r="F2104" s="92"/>
      <c r="G2104" s="92"/>
      <c r="H2104" s="92"/>
      <c r="I2104" s="92"/>
      <c r="J2104" s="92"/>
      <c r="K2104" s="92"/>
      <c r="L2104" s="92"/>
      <c r="M2104" s="92"/>
      <c r="N2104" s="92"/>
      <c r="O2104" s="92"/>
      <c r="P2104" s="92"/>
    </row>
    <row r="2105" spans="1:16" s="154" customFormat="1" ht="12">
      <c r="A2105" s="92"/>
      <c r="B2105" s="92"/>
      <c r="C2105" s="92"/>
      <c r="D2105" s="92"/>
      <c r="E2105" s="92"/>
      <c r="F2105" s="92"/>
      <c r="G2105" s="92"/>
      <c r="H2105" s="92"/>
      <c r="I2105" s="92"/>
      <c r="J2105" s="92"/>
      <c r="K2105" s="92"/>
      <c r="L2105" s="92"/>
      <c r="M2105" s="92"/>
      <c r="N2105" s="92"/>
      <c r="O2105" s="92"/>
      <c r="P2105" s="92"/>
    </row>
    <row r="2106" spans="1:16" s="154" customFormat="1" ht="12">
      <c r="A2106" s="92"/>
      <c r="B2106" s="92"/>
      <c r="C2106" s="92"/>
      <c r="D2106" s="92"/>
      <c r="E2106" s="92"/>
      <c r="F2106" s="92"/>
      <c r="G2106" s="92"/>
      <c r="H2106" s="92"/>
      <c r="I2106" s="92"/>
      <c r="J2106" s="92"/>
      <c r="K2106" s="92"/>
      <c r="L2106" s="92"/>
      <c r="M2106" s="92"/>
      <c r="N2106" s="92"/>
      <c r="O2106" s="92"/>
      <c r="P2106" s="92"/>
    </row>
    <row r="2107" spans="1:16" s="154" customFormat="1" ht="12">
      <c r="A2107" s="92"/>
      <c r="B2107" s="92"/>
      <c r="C2107" s="92"/>
      <c r="D2107" s="92"/>
      <c r="E2107" s="92"/>
      <c r="F2107" s="92"/>
      <c r="G2107" s="92"/>
      <c r="H2107" s="92"/>
      <c r="I2107" s="92"/>
      <c r="J2107" s="92"/>
      <c r="K2107" s="92"/>
      <c r="L2107" s="92"/>
      <c r="M2107" s="92"/>
      <c r="N2107" s="92"/>
      <c r="O2107" s="92"/>
      <c r="P2107" s="92"/>
    </row>
    <row r="2108" spans="1:16" s="154" customFormat="1" ht="12">
      <c r="A2108" s="92"/>
      <c r="B2108" s="92"/>
      <c r="C2108" s="92"/>
      <c r="D2108" s="92"/>
      <c r="E2108" s="92"/>
      <c r="F2108" s="92"/>
      <c r="G2108" s="92"/>
      <c r="H2108" s="92"/>
      <c r="I2108" s="92"/>
      <c r="J2108" s="92"/>
      <c r="K2108" s="92"/>
      <c r="L2108" s="92"/>
      <c r="M2108" s="92"/>
      <c r="N2108" s="92"/>
      <c r="O2108" s="92"/>
      <c r="P2108" s="92"/>
    </row>
    <row r="2109" spans="1:16" s="154" customFormat="1" ht="12">
      <c r="A2109" s="92"/>
      <c r="B2109" s="92"/>
      <c r="C2109" s="92"/>
      <c r="D2109" s="92"/>
      <c r="E2109" s="92"/>
      <c r="F2109" s="92"/>
      <c r="G2109" s="92"/>
      <c r="H2109" s="92"/>
      <c r="I2109" s="92"/>
      <c r="J2109" s="92"/>
      <c r="K2109" s="92"/>
      <c r="L2109" s="92"/>
      <c r="M2109" s="92"/>
      <c r="N2109" s="92"/>
      <c r="O2109" s="92"/>
      <c r="P2109" s="92"/>
    </row>
    <row r="2110" spans="1:16" s="154" customFormat="1" ht="12">
      <c r="A2110" s="92"/>
      <c r="B2110" s="92"/>
      <c r="C2110" s="92"/>
      <c r="D2110" s="92"/>
      <c r="E2110" s="92"/>
      <c r="F2110" s="92"/>
      <c r="G2110" s="92"/>
      <c r="H2110" s="92"/>
      <c r="I2110" s="92"/>
      <c r="J2110" s="92"/>
      <c r="K2110" s="92"/>
      <c r="L2110" s="92"/>
      <c r="M2110" s="92"/>
      <c r="N2110" s="92"/>
      <c r="O2110" s="92"/>
      <c r="P2110" s="92"/>
    </row>
    <row r="2111" spans="1:16" s="154" customFormat="1" ht="12">
      <c r="A2111" s="92"/>
      <c r="B2111" s="92"/>
      <c r="C2111" s="92"/>
      <c r="D2111" s="92"/>
      <c r="E2111" s="92"/>
      <c r="F2111" s="92"/>
      <c r="G2111" s="92"/>
      <c r="H2111" s="92"/>
      <c r="I2111" s="92"/>
      <c r="J2111" s="92"/>
      <c r="K2111" s="92"/>
      <c r="L2111" s="92"/>
      <c r="M2111" s="92"/>
      <c r="N2111" s="92"/>
      <c r="O2111" s="92"/>
      <c r="P2111" s="92"/>
    </row>
    <row r="2112" spans="1:16" s="154" customFormat="1" ht="12">
      <c r="A2112" s="92"/>
      <c r="B2112" s="92"/>
      <c r="C2112" s="92"/>
      <c r="D2112" s="92"/>
      <c r="E2112" s="92"/>
      <c r="F2112" s="92"/>
      <c r="G2112" s="92"/>
      <c r="H2112" s="92"/>
      <c r="I2112" s="92"/>
      <c r="J2112" s="92"/>
      <c r="K2112" s="92"/>
      <c r="L2112" s="92"/>
      <c r="M2112" s="92"/>
      <c r="N2112" s="92"/>
      <c r="O2112" s="92"/>
      <c r="P2112" s="92"/>
    </row>
    <row r="2113" spans="1:16" s="154" customFormat="1" ht="12">
      <c r="A2113" s="92"/>
      <c r="B2113" s="92"/>
      <c r="C2113" s="92"/>
      <c r="D2113" s="92"/>
      <c r="E2113" s="92"/>
      <c r="F2113" s="92"/>
      <c r="G2113" s="92"/>
      <c r="H2113" s="92"/>
      <c r="I2113" s="92"/>
      <c r="J2113" s="92"/>
      <c r="K2113" s="92"/>
      <c r="L2113" s="92"/>
      <c r="M2113" s="92"/>
      <c r="N2113" s="92"/>
      <c r="O2113" s="92"/>
      <c r="P2113" s="92"/>
    </row>
    <row r="2114" spans="1:16" s="154" customFormat="1" ht="12">
      <c r="A2114" s="92"/>
      <c r="B2114" s="92"/>
      <c r="C2114" s="92"/>
      <c r="D2114" s="92"/>
      <c r="E2114" s="92"/>
      <c r="F2114" s="92"/>
      <c r="G2114" s="92"/>
      <c r="H2114" s="92"/>
      <c r="I2114" s="92"/>
      <c r="J2114" s="92"/>
      <c r="K2114" s="92"/>
      <c r="L2114" s="92"/>
      <c r="M2114" s="92"/>
      <c r="N2114" s="92"/>
      <c r="O2114" s="92"/>
      <c r="P2114" s="92"/>
    </row>
    <row r="2115" spans="1:16" s="154" customFormat="1" ht="12">
      <c r="A2115" s="92"/>
      <c r="B2115" s="92"/>
      <c r="C2115" s="92"/>
      <c r="D2115" s="92"/>
      <c r="E2115" s="92"/>
      <c r="F2115" s="92"/>
      <c r="G2115" s="92"/>
      <c r="H2115" s="92"/>
      <c r="I2115" s="92"/>
      <c r="J2115" s="92"/>
      <c r="K2115" s="92"/>
      <c r="L2115" s="92"/>
      <c r="M2115" s="92"/>
      <c r="N2115" s="92"/>
      <c r="O2115" s="92"/>
      <c r="P2115" s="92"/>
    </row>
    <row r="2116" spans="1:16" s="154" customFormat="1" ht="12">
      <c r="A2116" s="92"/>
      <c r="B2116" s="92"/>
      <c r="C2116" s="92"/>
      <c r="D2116" s="92"/>
      <c r="E2116" s="92"/>
      <c r="F2116" s="92"/>
      <c r="G2116" s="92"/>
      <c r="H2116" s="92"/>
      <c r="I2116" s="92"/>
      <c r="J2116" s="92"/>
      <c r="K2116" s="92"/>
      <c r="L2116" s="92"/>
      <c r="M2116" s="92"/>
      <c r="N2116" s="92"/>
      <c r="O2116" s="92"/>
      <c r="P2116" s="92"/>
    </row>
    <row r="2117" spans="1:16" s="154" customFormat="1" ht="12">
      <c r="A2117" s="92"/>
      <c r="B2117" s="92"/>
      <c r="C2117" s="92"/>
      <c r="D2117" s="92"/>
      <c r="E2117" s="92"/>
      <c r="F2117" s="92"/>
      <c r="G2117" s="92"/>
      <c r="H2117" s="92"/>
      <c r="I2117" s="92"/>
      <c r="J2117" s="92"/>
      <c r="K2117" s="92"/>
      <c r="L2117" s="92"/>
      <c r="M2117" s="92"/>
      <c r="N2117" s="92"/>
      <c r="O2117" s="92"/>
      <c r="P2117" s="92"/>
    </row>
    <row r="2118" spans="1:16" s="154" customFormat="1" ht="12">
      <c r="A2118" s="92"/>
      <c r="B2118" s="92"/>
      <c r="C2118" s="92"/>
      <c r="D2118" s="92"/>
      <c r="E2118" s="92"/>
      <c r="F2118" s="92"/>
      <c r="G2118" s="92"/>
      <c r="H2118" s="92"/>
      <c r="I2118" s="92"/>
      <c r="J2118" s="92"/>
      <c r="K2118" s="92"/>
      <c r="L2118" s="92"/>
      <c r="M2118" s="92"/>
      <c r="N2118" s="92"/>
      <c r="O2118" s="92"/>
      <c r="P2118" s="92"/>
    </row>
    <row r="2119" spans="1:16" s="154" customFormat="1" ht="12">
      <c r="A2119" s="92"/>
      <c r="B2119" s="92"/>
      <c r="C2119" s="92"/>
      <c r="D2119" s="92"/>
      <c r="E2119" s="92"/>
      <c r="F2119" s="92"/>
      <c r="G2119" s="92"/>
      <c r="H2119" s="92"/>
      <c r="I2119" s="92"/>
      <c r="J2119" s="92"/>
      <c r="K2119" s="92"/>
      <c r="L2119" s="92"/>
      <c r="M2119" s="92"/>
      <c r="N2119" s="92"/>
      <c r="O2119" s="92"/>
      <c r="P2119" s="92"/>
    </row>
    <row r="2120" spans="1:16" s="154" customFormat="1" ht="12">
      <c r="A2120" s="92"/>
      <c r="B2120" s="92"/>
      <c r="C2120" s="92"/>
      <c r="D2120" s="92"/>
      <c r="E2120" s="92"/>
      <c r="F2120" s="92"/>
      <c r="G2120" s="92"/>
      <c r="H2120" s="92"/>
      <c r="I2120" s="92"/>
      <c r="J2120" s="92"/>
      <c r="K2120" s="92"/>
      <c r="L2120" s="92"/>
      <c r="M2120" s="92"/>
      <c r="N2120" s="92"/>
      <c r="O2120" s="92"/>
      <c r="P2120" s="92"/>
    </row>
    <row r="2121" spans="1:16" s="154" customFormat="1" ht="12">
      <c r="A2121" s="92"/>
      <c r="B2121" s="92"/>
      <c r="C2121" s="92"/>
      <c r="D2121" s="92"/>
      <c r="E2121" s="92"/>
      <c r="F2121" s="92"/>
      <c r="G2121" s="92"/>
      <c r="H2121" s="92"/>
      <c r="I2121" s="92"/>
      <c r="J2121" s="92"/>
      <c r="K2121" s="92"/>
      <c r="L2121" s="92"/>
      <c r="M2121" s="92"/>
      <c r="N2121" s="92"/>
      <c r="O2121" s="92"/>
      <c r="P2121" s="92"/>
    </row>
    <row r="2122" spans="1:16" s="154" customFormat="1" ht="12">
      <c r="A2122" s="92"/>
      <c r="B2122" s="92"/>
      <c r="C2122" s="92"/>
      <c r="D2122" s="92"/>
      <c r="E2122" s="92"/>
      <c r="F2122" s="92"/>
      <c r="G2122" s="92"/>
      <c r="H2122" s="92"/>
      <c r="I2122" s="92"/>
      <c r="J2122" s="92"/>
      <c r="K2122" s="92"/>
      <c r="L2122" s="92"/>
      <c r="M2122" s="92"/>
      <c r="N2122" s="92"/>
      <c r="O2122" s="92"/>
      <c r="P2122" s="92"/>
    </row>
    <row r="2123" spans="1:16" s="154" customFormat="1" ht="12">
      <c r="A2123" s="92"/>
      <c r="B2123" s="92"/>
      <c r="C2123" s="92"/>
      <c r="D2123" s="92"/>
      <c r="E2123" s="92"/>
      <c r="F2123" s="92"/>
      <c r="G2123" s="92"/>
      <c r="H2123" s="92"/>
      <c r="I2123" s="92"/>
      <c r="J2123" s="92"/>
      <c r="K2123" s="92"/>
      <c r="L2123" s="92"/>
      <c r="M2123" s="92"/>
      <c r="N2123" s="92"/>
      <c r="O2123" s="92"/>
      <c r="P2123" s="92"/>
    </row>
    <row r="2124" spans="1:16" s="154" customFormat="1" ht="12">
      <c r="A2124" s="92"/>
      <c r="B2124" s="92"/>
      <c r="C2124" s="92"/>
      <c r="D2124" s="92"/>
      <c r="E2124" s="92"/>
      <c r="F2124" s="92"/>
      <c r="G2124" s="92"/>
      <c r="H2124" s="92"/>
      <c r="I2124" s="92"/>
      <c r="J2124" s="92"/>
      <c r="K2124" s="92"/>
      <c r="L2124" s="92"/>
      <c r="M2124" s="92"/>
      <c r="N2124" s="92"/>
      <c r="O2124" s="92"/>
      <c r="P2124" s="92"/>
    </row>
    <row r="2125" spans="1:16" s="154" customFormat="1" ht="12">
      <c r="A2125" s="92"/>
      <c r="B2125" s="92"/>
      <c r="C2125" s="92"/>
      <c r="D2125" s="92"/>
      <c r="E2125" s="92"/>
      <c r="F2125" s="92"/>
      <c r="G2125" s="92"/>
      <c r="H2125" s="92"/>
      <c r="I2125" s="92"/>
      <c r="J2125" s="92"/>
      <c r="K2125" s="92"/>
      <c r="L2125" s="92"/>
      <c r="M2125" s="92"/>
      <c r="N2125" s="92"/>
      <c r="O2125" s="92"/>
      <c r="P2125" s="92"/>
    </row>
    <row r="2126" spans="1:16" s="154" customFormat="1" ht="12">
      <c r="A2126" s="92"/>
      <c r="B2126" s="92"/>
      <c r="C2126" s="92"/>
      <c r="D2126" s="92"/>
      <c r="E2126" s="92"/>
      <c r="F2126" s="92"/>
      <c r="G2126" s="92"/>
      <c r="H2126" s="92"/>
      <c r="I2126" s="92"/>
      <c r="J2126" s="92"/>
      <c r="K2126" s="92"/>
      <c r="L2126" s="92"/>
      <c r="M2126" s="92"/>
      <c r="N2126" s="92"/>
      <c r="O2126" s="92"/>
      <c r="P2126" s="92"/>
    </row>
    <row r="2127" spans="1:16" s="154" customFormat="1" ht="12">
      <c r="A2127" s="92"/>
      <c r="B2127" s="92"/>
      <c r="C2127" s="92"/>
      <c r="D2127" s="92"/>
      <c r="E2127" s="92"/>
      <c r="F2127" s="92"/>
      <c r="G2127" s="92"/>
      <c r="H2127" s="92"/>
      <c r="I2127" s="92"/>
      <c r="J2127" s="92"/>
      <c r="K2127" s="92"/>
      <c r="L2127" s="92"/>
      <c r="M2127" s="92"/>
      <c r="N2127" s="92"/>
      <c r="O2127" s="92"/>
      <c r="P2127" s="92"/>
    </row>
    <row r="2128" spans="1:16" s="154" customFormat="1" ht="12">
      <c r="A2128" s="92"/>
      <c r="B2128" s="92"/>
      <c r="C2128" s="92"/>
      <c r="D2128" s="92"/>
      <c r="E2128" s="92"/>
      <c r="F2128" s="92"/>
      <c r="G2128" s="92"/>
      <c r="H2128" s="92"/>
      <c r="I2128" s="92"/>
      <c r="J2128" s="92"/>
      <c r="K2128" s="92"/>
      <c r="L2128" s="92"/>
      <c r="M2128" s="92"/>
      <c r="N2128" s="92"/>
      <c r="O2128" s="92"/>
      <c r="P2128" s="92"/>
    </row>
    <row r="2129" spans="1:16" s="154" customFormat="1" ht="12">
      <c r="A2129" s="92"/>
      <c r="B2129" s="92"/>
      <c r="C2129" s="92"/>
      <c r="D2129" s="92"/>
      <c r="E2129" s="92"/>
      <c r="F2129" s="92"/>
      <c r="G2129" s="92"/>
      <c r="H2129" s="92"/>
      <c r="I2129" s="92"/>
      <c r="J2129" s="92"/>
      <c r="K2129" s="92"/>
      <c r="L2129" s="92"/>
      <c r="M2129" s="92"/>
      <c r="N2129" s="92"/>
      <c r="O2129" s="92"/>
      <c r="P2129" s="92"/>
    </row>
    <row r="2130" spans="1:16" s="154" customFormat="1" ht="12">
      <c r="A2130" s="92"/>
      <c r="B2130" s="92"/>
      <c r="C2130" s="92"/>
      <c r="D2130" s="92"/>
      <c r="E2130" s="92"/>
      <c r="F2130" s="92"/>
      <c r="G2130" s="92"/>
      <c r="H2130" s="92"/>
      <c r="I2130" s="92"/>
      <c r="J2130" s="92"/>
      <c r="K2130" s="92"/>
      <c r="L2130" s="92"/>
      <c r="M2130" s="92"/>
      <c r="N2130" s="92"/>
      <c r="O2130" s="92"/>
      <c r="P2130" s="92"/>
    </row>
    <row r="2131" spans="1:16" s="154" customFormat="1" ht="12">
      <c r="A2131" s="92"/>
      <c r="B2131" s="92"/>
      <c r="C2131" s="92"/>
      <c r="D2131" s="92"/>
      <c r="E2131" s="92"/>
      <c r="F2131" s="92"/>
      <c r="G2131" s="92"/>
      <c r="H2131" s="92"/>
      <c r="I2131" s="92"/>
      <c r="J2131" s="92"/>
      <c r="K2131" s="92"/>
      <c r="L2131" s="92"/>
      <c r="M2131" s="92"/>
      <c r="N2131" s="92"/>
      <c r="O2131" s="92"/>
      <c r="P2131" s="92"/>
    </row>
    <row r="2132" spans="1:16" s="154" customFormat="1" ht="12">
      <c r="A2132" s="92"/>
      <c r="B2132" s="92"/>
      <c r="C2132" s="92"/>
      <c r="D2132" s="92"/>
      <c r="E2132" s="92"/>
      <c r="F2132" s="92"/>
      <c r="G2132" s="92"/>
      <c r="H2132" s="92"/>
      <c r="I2132" s="92"/>
      <c r="J2132" s="92"/>
      <c r="K2132" s="92"/>
      <c r="L2132" s="92"/>
      <c r="M2132" s="92"/>
      <c r="N2132" s="92"/>
      <c r="O2132" s="92"/>
      <c r="P2132" s="92"/>
    </row>
    <row r="2133" spans="1:16" s="154" customFormat="1" ht="12">
      <c r="A2133" s="92"/>
      <c r="B2133" s="92"/>
      <c r="C2133" s="92"/>
      <c r="D2133" s="92"/>
      <c r="E2133" s="92"/>
      <c r="F2133" s="92"/>
      <c r="G2133" s="92"/>
      <c r="H2133" s="92"/>
      <c r="I2133" s="92"/>
      <c r="J2133" s="92"/>
      <c r="K2133" s="92"/>
      <c r="L2133" s="92"/>
      <c r="M2133" s="92"/>
      <c r="N2133" s="92"/>
      <c r="O2133" s="92"/>
      <c r="P2133" s="92"/>
    </row>
    <row r="2134" spans="1:16" s="154" customFormat="1" ht="12">
      <c r="A2134" s="92"/>
      <c r="B2134" s="92"/>
      <c r="C2134" s="92"/>
      <c r="D2134" s="92"/>
      <c r="E2134" s="92"/>
      <c r="F2134" s="92"/>
      <c r="G2134" s="92"/>
      <c r="H2134" s="92"/>
      <c r="I2134" s="92"/>
      <c r="J2134" s="92"/>
      <c r="K2134" s="92"/>
      <c r="L2134" s="92"/>
      <c r="M2134" s="92"/>
      <c r="N2134" s="92"/>
      <c r="O2134" s="92"/>
      <c r="P2134" s="92"/>
    </row>
    <row r="2135" spans="1:16" s="154" customFormat="1" ht="12">
      <c r="A2135" s="92"/>
      <c r="B2135" s="92"/>
      <c r="C2135" s="92"/>
      <c r="D2135" s="92"/>
      <c r="E2135" s="92"/>
      <c r="F2135" s="92"/>
      <c r="G2135" s="92"/>
      <c r="H2135" s="92"/>
      <c r="I2135" s="92"/>
      <c r="J2135" s="92"/>
      <c r="K2135" s="92"/>
      <c r="L2135" s="92"/>
      <c r="M2135" s="92"/>
      <c r="N2135" s="92"/>
      <c r="O2135" s="92"/>
      <c r="P2135" s="92"/>
    </row>
    <row r="2136" spans="1:16" s="154" customFormat="1" ht="12">
      <c r="A2136" s="92"/>
      <c r="B2136" s="92"/>
      <c r="C2136" s="92"/>
      <c r="D2136" s="92"/>
      <c r="E2136" s="92"/>
      <c r="F2136" s="92"/>
      <c r="G2136" s="92"/>
      <c r="H2136" s="92"/>
      <c r="I2136" s="92"/>
      <c r="J2136" s="92"/>
      <c r="K2136" s="92"/>
      <c r="L2136" s="92"/>
      <c r="M2136" s="92"/>
      <c r="N2136" s="92"/>
      <c r="O2136" s="92"/>
      <c r="P2136" s="92"/>
    </row>
    <row r="2137" spans="1:16" s="154" customFormat="1" ht="12">
      <c r="A2137" s="92"/>
      <c r="B2137" s="92"/>
      <c r="C2137" s="92"/>
      <c r="D2137" s="92"/>
      <c r="E2137" s="92"/>
      <c r="F2137" s="92"/>
      <c r="G2137" s="92"/>
      <c r="H2137" s="92"/>
      <c r="I2137" s="92"/>
      <c r="J2137" s="92"/>
      <c r="K2137" s="92"/>
      <c r="L2137" s="92"/>
      <c r="M2137" s="92"/>
      <c r="N2137" s="92"/>
      <c r="O2137" s="92"/>
      <c r="P2137" s="92"/>
    </row>
    <row r="2138" spans="1:16" s="154" customFormat="1" ht="12">
      <c r="A2138" s="92"/>
      <c r="B2138" s="92"/>
      <c r="C2138" s="92"/>
      <c r="D2138" s="92"/>
      <c r="E2138" s="92"/>
      <c r="F2138" s="92"/>
      <c r="G2138" s="92"/>
      <c r="H2138" s="92"/>
      <c r="I2138" s="92"/>
      <c r="J2138" s="92"/>
      <c r="K2138" s="92"/>
      <c r="L2138" s="92"/>
      <c r="M2138" s="92"/>
      <c r="N2138" s="92"/>
      <c r="O2138" s="92"/>
      <c r="P2138" s="92"/>
    </row>
    <row r="2139" spans="1:16" s="154" customFormat="1" ht="12">
      <c r="A2139" s="92"/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</row>
    <row r="2140" spans="1:16" s="154" customFormat="1" ht="12">
      <c r="A2140" s="92"/>
      <c r="B2140" s="92"/>
      <c r="C2140" s="92"/>
      <c r="D2140" s="92"/>
      <c r="E2140" s="92"/>
      <c r="F2140" s="92"/>
      <c r="G2140" s="92"/>
      <c r="H2140" s="92"/>
      <c r="I2140" s="92"/>
      <c r="J2140" s="92"/>
      <c r="K2140" s="92"/>
      <c r="L2140" s="92"/>
      <c r="M2140" s="92"/>
      <c r="N2140" s="92"/>
      <c r="O2140" s="92"/>
      <c r="P2140" s="92"/>
    </row>
    <row r="2141" spans="1:16" s="154" customFormat="1" ht="12">
      <c r="A2141" s="92"/>
      <c r="B2141" s="92"/>
      <c r="C2141" s="92"/>
      <c r="D2141" s="92"/>
      <c r="E2141" s="92"/>
      <c r="F2141" s="92"/>
      <c r="G2141" s="92"/>
      <c r="H2141" s="92"/>
      <c r="I2141" s="92"/>
      <c r="J2141" s="92"/>
      <c r="K2141" s="92"/>
      <c r="L2141" s="92"/>
      <c r="M2141" s="92"/>
      <c r="N2141" s="92"/>
      <c r="O2141" s="92"/>
      <c r="P2141" s="92"/>
    </row>
    <row r="2142" spans="1:16" s="154" customFormat="1" ht="12">
      <c r="A2142" s="92"/>
      <c r="B2142" s="92"/>
      <c r="C2142" s="92"/>
      <c r="D2142" s="92"/>
      <c r="E2142" s="92"/>
      <c r="F2142" s="92"/>
      <c r="G2142" s="92"/>
      <c r="H2142" s="92"/>
      <c r="I2142" s="92"/>
      <c r="J2142" s="92"/>
      <c r="K2142" s="92"/>
      <c r="L2142" s="92"/>
      <c r="M2142" s="92"/>
      <c r="N2142" s="92"/>
      <c r="O2142" s="92"/>
      <c r="P2142" s="92"/>
    </row>
    <row r="2143" spans="1:16" s="154" customFormat="1" ht="12">
      <c r="A2143" s="92"/>
      <c r="B2143" s="92"/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</row>
    <row r="2144" spans="1:16" s="154" customFormat="1" ht="12">
      <c r="A2144" s="92"/>
      <c r="B2144" s="92"/>
      <c r="C2144" s="92"/>
      <c r="D2144" s="92"/>
      <c r="E2144" s="92"/>
      <c r="F2144" s="92"/>
      <c r="G2144" s="92"/>
      <c r="H2144" s="92"/>
      <c r="I2144" s="92"/>
      <c r="J2144" s="92"/>
      <c r="K2144" s="92"/>
      <c r="L2144" s="92"/>
      <c r="M2144" s="92"/>
      <c r="N2144" s="92"/>
      <c r="O2144" s="92"/>
      <c r="P2144" s="92"/>
    </row>
    <row r="2145" spans="1:16" s="154" customFormat="1" ht="12">
      <c r="A2145" s="92"/>
      <c r="B2145" s="92"/>
      <c r="C2145" s="92"/>
      <c r="D2145" s="92"/>
      <c r="E2145" s="92"/>
      <c r="F2145" s="92"/>
      <c r="G2145" s="92"/>
      <c r="H2145" s="92"/>
      <c r="I2145" s="92"/>
      <c r="J2145" s="92"/>
      <c r="K2145" s="92"/>
      <c r="L2145" s="92"/>
      <c r="M2145" s="92"/>
      <c r="N2145" s="92"/>
      <c r="O2145" s="92"/>
      <c r="P2145" s="92"/>
    </row>
    <row r="2146" spans="1:16" s="154" customFormat="1" ht="12">
      <c r="A2146" s="92"/>
      <c r="B2146" s="92"/>
      <c r="C2146" s="92"/>
      <c r="D2146" s="92"/>
      <c r="E2146" s="92"/>
      <c r="F2146" s="92"/>
      <c r="G2146" s="92"/>
      <c r="H2146" s="92"/>
      <c r="I2146" s="92"/>
      <c r="J2146" s="92"/>
      <c r="K2146" s="92"/>
      <c r="L2146" s="92"/>
      <c r="M2146" s="92"/>
      <c r="N2146" s="92"/>
      <c r="O2146" s="92"/>
      <c r="P2146" s="92"/>
    </row>
    <row r="2147" spans="1:16" s="154" customFormat="1" ht="12">
      <c r="A2147" s="92"/>
      <c r="B2147" s="92"/>
      <c r="C2147" s="92"/>
      <c r="D2147" s="92"/>
      <c r="E2147" s="92"/>
      <c r="F2147" s="92"/>
      <c r="G2147" s="92"/>
      <c r="H2147" s="92"/>
      <c r="I2147" s="92"/>
      <c r="J2147" s="92"/>
      <c r="K2147" s="92"/>
      <c r="L2147" s="92"/>
      <c r="M2147" s="92"/>
      <c r="N2147" s="92"/>
      <c r="O2147" s="92"/>
      <c r="P2147" s="92"/>
    </row>
    <row r="2148" spans="1:16" s="154" customFormat="1" ht="12">
      <c r="A2148" s="92"/>
      <c r="B2148" s="92"/>
      <c r="C2148" s="92"/>
      <c r="D2148" s="92"/>
      <c r="E2148" s="92"/>
      <c r="F2148" s="92"/>
      <c r="G2148" s="92"/>
      <c r="H2148" s="92"/>
      <c r="I2148" s="92"/>
      <c r="J2148" s="92"/>
      <c r="K2148" s="92"/>
      <c r="L2148" s="92"/>
      <c r="M2148" s="92"/>
      <c r="N2148" s="92"/>
      <c r="O2148" s="92"/>
      <c r="P2148" s="92"/>
    </row>
    <row r="2149" spans="1:16" s="154" customFormat="1" ht="12">
      <c r="A2149" s="92"/>
      <c r="B2149" s="92"/>
      <c r="C2149" s="92"/>
      <c r="D2149" s="92"/>
      <c r="E2149" s="92"/>
      <c r="F2149" s="92"/>
      <c r="G2149" s="92"/>
      <c r="H2149" s="92"/>
      <c r="I2149" s="92"/>
      <c r="J2149" s="92"/>
      <c r="K2149" s="92"/>
      <c r="L2149" s="92"/>
      <c r="M2149" s="92"/>
      <c r="N2149" s="92"/>
      <c r="O2149" s="92"/>
      <c r="P2149" s="92"/>
    </row>
    <row r="2150" spans="1:16" s="154" customFormat="1" ht="12">
      <c r="A2150" s="92"/>
      <c r="B2150" s="92"/>
      <c r="C2150" s="92"/>
      <c r="D2150" s="92"/>
      <c r="E2150" s="92"/>
      <c r="F2150" s="92"/>
      <c r="G2150" s="92"/>
      <c r="H2150" s="92"/>
      <c r="I2150" s="92"/>
      <c r="J2150" s="92"/>
      <c r="K2150" s="92"/>
      <c r="L2150" s="92"/>
      <c r="M2150" s="92"/>
      <c r="N2150" s="92"/>
      <c r="O2150" s="92"/>
      <c r="P2150" s="92"/>
    </row>
    <row r="2151" spans="1:16" s="154" customFormat="1" ht="12">
      <c r="A2151" s="92"/>
      <c r="B2151" s="92"/>
      <c r="C2151" s="92"/>
      <c r="D2151" s="92"/>
      <c r="E2151" s="92"/>
      <c r="F2151" s="92"/>
      <c r="G2151" s="92"/>
      <c r="H2151" s="92"/>
      <c r="I2151" s="92"/>
      <c r="J2151" s="92"/>
      <c r="K2151" s="92"/>
      <c r="L2151" s="92"/>
      <c r="M2151" s="92"/>
      <c r="N2151" s="92"/>
      <c r="O2151" s="92"/>
      <c r="P2151" s="92"/>
    </row>
    <row r="2152" spans="1:16" s="154" customFormat="1" ht="12">
      <c r="A2152" s="92"/>
      <c r="B2152" s="92"/>
      <c r="C2152" s="92"/>
      <c r="D2152" s="92"/>
      <c r="E2152" s="92"/>
      <c r="F2152" s="92"/>
      <c r="G2152" s="92"/>
      <c r="H2152" s="92"/>
      <c r="I2152" s="92"/>
      <c r="J2152" s="92"/>
      <c r="K2152" s="92"/>
      <c r="L2152" s="92"/>
      <c r="M2152" s="92"/>
      <c r="N2152" s="92"/>
      <c r="O2152" s="92"/>
      <c r="P2152" s="92"/>
    </row>
    <row r="2153" spans="1:16" s="154" customFormat="1" ht="12">
      <c r="A2153" s="92"/>
      <c r="B2153" s="92"/>
      <c r="C2153" s="92"/>
      <c r="D2153" s="92"/>
      <c r="E2153" s="92"/>
      <c r="F2153" s="92"/>
      <c r="G2153" s="92"/>
      <c r="H2153" s="92"/>
      <c r="I2153" s="92"/>
      <c r="J2153" s="92"/>
      <c r="K2153" s="92"/>
      <c r="L2153" s="92"/>
      <c r="M2153" s="92"/>
      <c r="N2153" s="92"/>
      <c r="O2153" s="92"/>
      <c r="P2153" s="92"/>
    </row>
    <row r="2154" spans="1:16" s="154" customFormat="1" ht="12">
      <c r="A2154" s="92"/>
      <c r="B2154" s="92"/>
      <c r="C2154" s="92"/>
      <c r="D2154" s="92"/>
      <c r="E2154" s="92"/>
      <c r="F2154" s="92"/>
      <c r="G2154" s="92"/>
      <c r="H2154" s="92"/>
      <c r="I2154" s="92"/>
      <c r="J2154" s="92"/>
      <c r="K2154" s="92"/>
      <c r="L2154" s="92"/>
      <c r="M2154" s="92"/>
      <c r="N2154" s="92"/>
      <c r="O2154" s="92"/>
      <c r="P2154" s="92"/>
    </row>
    <row r="2155" spans="1:16" s="154" customFormat="1" ht="12">
      <c r="A2155" s="92"/>
      <c r="B2155" s="92"/>
      <c r="C2155" s="92"/>
      <c r="D2155" s="92"/>
      <c r="E2155" s="92"/>
      <c r="F2155" s="92"/>
      <c r="G2155" s="92"/>
      <c r="H2155" s="92"/>
      <c r="I2155" s="92"/>
      <c r="J2155" s="92"/>
      <c r="K2155" s="92"/>
      <c r="L2155" s="92"/>
      <c r="M2155" s="92"/>
      <c r="N2155" s="92"/>
      <c r="O2155" s="92"/>
      <c r="P2155" s="92"/>
    </row>
    <row r="2156" spans="1:16" s="154" customFormat="1" ht="12">
      <c r="A2156" s="92"/>
      <c r="B2156" s="92"/>
      <c r="C2156" s="92"/>
      <c r="D2156" s="92"/>
      <c r="E2156" s="92"/>
      <c r="F2156" s="92"/>
      <c r="G2156" s="92"/>
      <c r="H2156" s="92"/>
      <c r="I2156" s="92"/>
      <c r="J2156" s="92"/>
      <c r="K2156" s="92"/>
      <c r="L2156" s="92"/>
      <c r="M2156" s="92"/>
      <c r="N2156" s="92"/>
      <c r="O2156" s="92"/>
      <c r="P2156" s="92"/>
    </row>
    <row r="2157" spans="1:16" s="154" customFormat="1" ht="12">
      <c r="A2157" s="92"/>
      <c r="B2157" s="92"/>
      <c r="C2157" s="92"/>
      <c r="D2157" s="92"/>
      <c r="E2157" s="92"/>
      <c r="F2157" s="92"/>
      <c r="G2157" s="92"/>
      <c r="H2157" s="92"/>
      <c r="I2157" s="92"/>
      <c r="J2157" s="92"/>
      <c r="K2157" s="92"/>
      <c r="L2157" s="92"/>
      <c r="M2157" s="92"/>
      <c r="N2157" s="92"/>
      <c r="O2157" s="92"/>
      <c r="P2157" s="92"/>
    </row>
    <row r="2158" spans="1:16" s="154" customFormat="1" ht="12">
      <c r="A2158" s="92"/>
      <c r="B2158" s="92"/>
      <c r="C2158" s="92"/>
      <c r="D2158" s="92"/>
      <c r="E2158" s="92"/>
      <c r="F2158" s="92"/>
      <c r="G2158" s="92"/>
      <c r="H2158" s="92"/>
      <c r="I2158" s="92"/>
      <c r="J2158" s="92"/>
      <c r="K2158" s="92"/>
      <c r="L2158" s="92"/>
      <c r="M2158" s="92"/>
      <c r="N2158" s="92"/>
      <c r="O2158" s="92"/>
      <c r="P2158" s="92"/>
    </row>
    <row r="2159" spans="1:16" s="154" customFormat="1" ht="12">
      <c r="A2159" s="92"/>
      <c r="B2159" s="92"/>
      <c r="C2159" s="92"/>
      <c r="D2159" s="92"/>
      <c r="E2159" s="92"/>
      <c r="F2159" s="92"/>
      <c r="G2159" s="92"/>
      <c r="H2159" s="92"/>
      <c r="I2159" s="92"/>
      <c r="J2159" s="92"/>
      <c r="K2159" s="92"/>
      <c r="L2159" s="92"/>
      <c r="M2159" s="92"/>
      <c r="N2159" s="92"/>
      <c r="O2159" s="92"/>
      <c r="P2159" s="92"/>
    </row>
    <row r="2160" spans="1:16" s="154" customFormat="1" ht="12">
      <c r="A2160" s="92"/>
      <c r="B2160" s="92"/>
      <c r="C2160" s="92"/>
      <c r="D2160" s="92"/>
      <c r="E2160" s="92"/>
      <c r="F2160" s="92"/>
      <c r="G2160" s="92"/>
      <c r="H2160" s="92"/>
      <c r="I2160" s="92"/>
      <c r="J2160" s="92"/>
      <c r="K2160" s="92"/>
      <c r="L2160" s="92"/>
      <c r="M2160" s="92"/>
      <c r="N2160" s="92"/>
      <c r="O2160" s="92"/>
      <c r="P2160" s="92"/>
    </row>
    <row r="2161" spans="1:16" s="154" customFormat="1" ht="12">
      <c r="A2161" s="92"/>
      <c r="B2161" s="92"/>
      <c r="C2161" s="92"/>
      <c r="D2161" s="92"/>
      <c r="E2161" s="92"/>
      <c r="F2161" s="92"/>
      <c r="G2161" s="92"/>
      <c r="H2161" s="92"/>
      <c r="I2161" s="92"/>
      <c r="J2161" s="92"/>
      <c r="K2161" s="92"/>
      <c r="L2161" s="92"/>
      <c r="M2161" s="92"/>
      <c r="N2161" s="92"/>
      <c r="O2161" s="92"/>
      <c r="P2161" s="92"/>
    </row>
    <row r="2162" spans="1:16" s="154" customFormat="1" ht="12">
      <c r="A2162" s="92"/>
      <c r="B2162" s="92"/>
      <c r="C2162" s="92"/>
      <c r="D2162" s="92"/>
      <c r="E2162" s="92"/>
      <c r="F2162" s="92"/>
      <c r="G2162" s="92"/>
      <c r="H2162" s="92"/>
      <c r="I2162" s="92"/>
      <c r="J2162" s="92"/>
      <c r="K2162" s="92"/>
      <c r="L2162" s="92"/>
      <c r="M2162" s="92"/>
      <c r="N2162" s="92"/>
      <c r="O2162" s="92"/>
      <c r="P2162" s="92"/>
    </row>
    <row r="2163" spans="1:16" s="154" customFormat="1" ht="12">
      <c r="A2163" s="92"/>
      <c r="B2163" s="92"/>
      <c r="C2163" s="92"/>
      <c r="D2163" s="92"/>
      <c r="E2163" s="92"/>
      <c r="F2163" s="92"/>
      <c r="G2163" s="92"/>
      <c r="H2163" s="92"/>
      <c r="I2163" s="92"/>
      <c r="J2163" s="92"/>
      <c r="K2163" s="92"/>
      <c r="L2163" s="92"/>
      <c r="M2163" s="92"/>
      <c r="N2163" s="92"/>
      <c r="O2163" s="92"/>
      <c r="P2163" s="92"/>
    </row>
    <row r="2164" spans="1:16" s="154" customFormat="1" ht="12">
      <c r="A2164" s="92"/>
      <c r="B2164" s="92"/>
      <c r="C2164" s="92"/>
      <c r="D2164" s="92"/>
      <c r="E2164" s="92"/>
      <c r="F2164" s="92"/>
      <c r="G2164" s="92"/>
      <c r="H2164" s="92"/>
      <c r="I2164" s="92"/>
      <c r="J2164" s="92"/>
      <c r="K2164" s="92"/>
      <c r="L2164" s="92"/>
      <c r="M2164" s="92"/>
      <c r="N2164" s="92"/>
      <c r="O2164" s="92"/>
      <c r="P2164" s="92"/>
    </row>
    <row r="2165" spans="1:16" s="154" customFormat="1" ht="12">
      <c r="A2165" s="92"/>
      <c r="B2165" s="92"/>
      <c r="C2165" s="92"/>
      <c r="D2165" s="92"/>
      <c r="E2165" s="92"/>
      <c r="F2165" s="92"/>
      <c r="G2165" s="92"/>
      <c r="H2165" s="92"/>
      <c r="I2165" s="92"/>
      <c r="J2165" s="92"/>
      <c r="K2165" s="92"/>
      <c r="L2165" s="92"/>
      <c r="M2165" s="92"/>
      <c r="N2165" s="92"/>
      <c r="O2165" s="92"/>
      <c r="P2165" s="92"/>
    </row>
    <row r="2166" spans="1:16" s="154" customFormat="1" ht="12">
      <c r="A2166" s="92"/>
      <c r="B2166" s="92"/>
      <c r="C2166" s="92"/>
      <c r="D2166" s="92"/>
      <c r="E2166" s="92"/>
      <c r="F2166" s="92"/>
      <c r="G2166" s="92"/>
      <c r="H2166" s="92"/>
      <c r="I2166" s="92"/>
      <c r="J2166" s="92"/>
      <c r="K2166" s="92"/>
      <c r="L2166" s="92"/>
      <c r="M2166" s="92"/>
      <c r="N2166" s="92"/>
      <c r="O2166" s="92"/>
      <c r="P2166" s="92"/>
    </row>
    <row r="2167" spans="1:16" s="154" customFormat="1" ht="12">
      <c r="A2167" s="92"/>
      <c r="B2167" s="92"/>
      <c r="C2167" s="92"/>
      <c r="D2167" s="92"/>
      <c r="E2167" s="92"/>
      <c r="F2167" s="92"/>
      <c r="G2167" s="92"/>
      <c r="H2167" s="92"/>
      <c r="I2167" s="92"/>
      <c r="J2167" s="92"/>
      <c r="K2167" s="92"/>
      <c r="L2167" s="92"/>
      <c r="M2167" s="92"/>
      <c r="N2167" s="92"/>
      <c r="O2167" s="92"/>
      <c r="P2167" s="92"/>
    </row>
    <row r="2168" spans="1:16" s="154" customFormat="1" ht="12">
      <c r="A2168" s="92"/>
      <c r="B2168" s="92"/>
      <c r="C2168" s="92"/>
      <c r="D2168" s="92"/>
      <c r="E2168" s="92"/>
      <c r="F2168" s="92"/>
      <c r="G2168" s="92"/>
      <c r="H2168" s="92"/>
      <c r="I2168" s="92"/>
      <c r="J2168" s="92"/>
      <c r="K2168" s="92"/>
      <c r="L2168" s="92"/>
      <c r="M2168" s="92"/>
      <c r="N2168" s="92"/>
      <c r="O2168" s="92"/>
      <c r="P2168" s="92"/>
    </row>
    <row r="2169" spans="1:16" s="154" customFormat="1" ht="12">
      <c r="A2169" s="92"/>
      <c r="B2169" s="92"/>
      <c r="C2169" s="92"/>
      <c r="D2169" s="92"/>
      <c r="E2169" s="92"/>
      <c r="F2169" s="92"/>
      <c r="G2169" s="92"/>
      <c r="H2169" s="92"/>
      <c r="I2169" s="92"/>
      <c r="J2169" s="92"/>
      <c r="K2169" s="92"/>
      <c r="L2169" s="92"/>
      <c r="M2169" s="92"/>
      <c r="N2169" s="92"/>
      <c r="O2169" s="92"/>
      <c r="P2169" s="92"/>
    </row>
    <row r="2170" spans="1:16" s="154" customFormat="1" ht="12">
      <c r="A2170" s="92"/>
      <c r="B2170" s="92"/>
      <c r="C2170" s="92"/>
      <c r="D2170" s="92"/>
      <c r="E2170" s="92"/>
      <c r="F2170" s="92"/>
      <c r="G2170" s="92"/>
      <c r="H2170" s="92"/>
      <c r="I2170" s="92"/>
      <c r="J2170" s="92"/>
      <c r="K2170" s="92"/>
      <c r="L2170" s="92"/>
      <c r="M2170" s="92"/>
      <c r="N2170" s="92"/>
      <c r="O2170" s="92"/>
      <c r="P2170" s="92"/>
    </row>
    <row r="2171" spans="1:16" s="154" customFormat="1" ht="12">
      <c r="A2171" s="92"/>
      <c r="B2171" s="92"/>
      <c r="C2171" s="92"/>
      <c r="D2171" s="92"/>
      <c r="E2171" s="92"/>
      <c r="F2171" s="92"/>
      <c r="G2171" s="92"/>
      <c r="H2171" s="92"/>
      <c r="I2171" s="92"/>
      <c r="J2171" s="92"/>
      <c r="K2171" s="92"/>
      <c r="L2171" s="92"/>
      <c r="M2171" s="92"/>
      <c r="N2171" s="92"/>
      <c r="O2171" s="92"/>
      <c r="P2171" s="92"/>
    </row>
    <row r="2172" spans="1:16" s="154" customFormat="1" ht="12">
      <c r="A2172" s="92"/>
      <c r="B2172" s="92"/>
      <c r="C2172" s="92"/>
      <c r="D2172" s="92"/>
      <c r="E2172" s="92"/>
      <c r="F2172" s="92"/>
      <c r="G2172" s="92"/>
      <c r="H2172" s="92"/>
      <c r="I2172" s="92"/>
      <c r="J2172" s="92"/>
      <c r="K2172" s="92"/>
      <c r="L2172" s="92"/>
      <c r="M2172" s="92"/>
      <c r="N2172" s="92"/>
      <c r="O2172" s="92"/>
      <c r="P2172" s="92"/>
    </row>
    <row r="2173" spans="1:16" s="154" customFormat="1" ht="12">
      <c r="A2173" s="92"/>
      <c r="B2173" s="92"/>
      <c r="C2173" s="92"/>
      <c r="D2173" s="92"/>
      <c r="E2173" s="92"/>
      <c r="F2173" s="92"/>
      <c r="G2173" s="92"/>
      <c r="H2173" s="92"/>
      <c r="I2173" s="92"/>
      <c r="J2173" s="92"/>
      <c r="K2173" s="92"/>
      <c r="L2173" s="92"/>
      <c r="M2173" s="92"/>
      <c r="N2173" s="92"/>
      <c r="O2173" s="92"/>
      <c r="P2173" s="92"/>
    </row>
    <row r="2174" spans="1:16" s="154" customFormat="1" ht="12">
      <c r="A2174" s="92"/>
      <c r="B2174" s="92"/>
      <c r="C2174" s="92"/>
      <c r="D2174" s="92"/>
      <c r="E2174" s="92"/>
      <c r="F2174" s="92"/>
      <c r="G2174" s="92"/>
      <c r="H2174" s="92"/>
      <c r="I2174" s="92"/>
      <c r="J2174" s="92"/>
      <c r="K2174" s="92"/>
      <c r="L2174" s="92"/>
      <c r="M2174" s="92"/>
      <c r="N2174" s="92"/>
      <c r="O2174" s="92"/>
      <c r="P2174" s="92"/>
    </row>
    <row r="2175" spans="1:16" s="154" customFormat="1" ht="12">
      <c r="A2175" s="92"/>
      <c r="B2175" s="92"/>
      <c r="C2175" s="92"/>
      <c r="D2175" s="92"/>
      <c r="E2175" s="92"/>
      <c r="F2175" s="92"/>
      <c r="G2175" s="92"/>
      <c r="H2175" s="92"/>
      <c r="I2175" s="92"/>
      <c r="J2175" s="92"/>
      <c r="K2175" s="92"/>
      <c r="L2175" s="92"/>
      <c r="M2175" s="92"/>
      <c r="N2175" s="92"/>
      <c r="O2175" s="92"/>
      <c r="P2175" s="92"/>
    </row>
    <row r="2176" spans="1:16" s="154" customFormat="1" ht="12">
      <c r="A2176" s="92"/>
      <c r="B2176" s="92"/>
      <c r="C2176" s="92"/>
      <c r="D2176" s="92"/>
      <c r="E2176" s="92"/>
      <c r="F2176" s="92"/>
      <c r="G2176" s="92"/>
      <c r="H2176" s="92"/>
      <c r="I2176" s="92"/>
      <c r="J2176" s="92"/>
      <c r="K2176" s="92"/>
      <c r="L2176" s="92"/>
      <c r="M2176" s="92"/>
      <c r="N2176" s="92"/>
      <c r="O2176" s="92"/>
      <c r="P2176" s="92"/>
    </row>
    <row r="2177" spans="1:16" s="154" customFormat="1" ht="12">
      <c r="A2177" s="92"/>
      <c r="B2177" s="92"/>
      <c r="C2177" s="92"/>
      <c r="D2177" s="92"/>
      <c r="E2177" s="92"/>
      <c r="F2177" s="92"/>
      <c r="G2177" s="92"/>
      <c r="H2177" s="92"/>
      <c r="I2177" s="92"/>
      <c r="J2177" s="92"/>
      <c r="K2177" s="92"/>
      <c r="L2177" s="92"/>
      <c r="M2177" s="92"/>
      <c r="N2177" s="92"/>
      <c r="O2177" s="92"/>
      <c r="P2177" s="92"/>
    </row>
    <row r="2178" spans="1:16" s="154" customFormat="1" ht="12">
      <c r="A2178" s="92"/>
      <c r="B2178" s="92"/>
      <c r="C2178" s="92"/>
      <c r="D2178" s="92"/>
      <c r="E2178" s="92"/>
      <c r="F2178" s="92"/>
      <c r="G2178" s="92"/>
      <c r="H2178" s="92"/>
      <c r="I2178" s="92"/>
      <c r="J2178" s="92"/>
      <c r="K2178" s="92"/>
      <c r="L2178" s="92"/>
      <c r="M2178" s="92"/>
      <c r="N2178" s="92"/>
      <c r="O2178" s="92"/>
      <c r="P2178" s="92"/>
    </row>
    <row r="2179" spans="1:16" s="154" customFormat="1" ht="12">
      <c r="A2179" s="92"/>
      <c r="B2179" s="92"/>
      <c r="C2179" s="92"/>
      <c r="D2179" s="92"/>
      <c r="E2179" s="92"/>
      <c r="F2179" s="92"/>
      <c r="G2179" s="92"/>
      <c r="H2179" s="92"/>
      <c r="I2179" s="92"/>
      <c r="J2179" s="92"/>
      <c r="K2179" s="92"/>
      <c r="L2179" s="92"/>
      <c r="M2179" s="92"/>
      <c r="N2179" s="92"/>
      <c r="O2179" s="92"/>
      <c r="P2179" s="92"/>
    </row>
    <row r="2180" spans="1:16" s="154" customFormat="1" ht="12">
      <c r="A2180" s="92"/>
      <c r="B2180" s="92"/>
      <c r="C2180" s="92"/>
      <c r="D2180" s="92"/>
      <c r="E2180" s="92"/>
      <c r="F2180" s="92"/>
      <c r="G2180" s="92"/>
      <c r="H2180" s="92"/>
      <c r="I2180" s="92"/>
      <c r="J2180" s="92"/>
      <c r="K2180" s="92"/>
      <c r="L2180" s="92"/>
      <c r="M2180" s="92"/>
      <c r="N2180" s="92"/>
      <c r="O2180" s="92"/>
      <c r="P2180" s="92"/>
    </row>
    <row r="2181" spans="1:16" s="154" customFormat="1" ht="12">
      <c r="A2181" s="92"/>
      <c r="B2181" s="92"/>
      <c r="C2181" s="92"/>
      <c r="D2181" s="92"/>
      <c r="E2181" s="92"/>
      <c r="F2181" s="92"/>
      <c r="G2181" s="92"/>
      <c r="H2181" s="92"/>
      <c r="I2181" s="92"/>
      <c r="J2181" s="92"/>
      <c r="K2181" s="92"/>
      <c r="L2181" s="92"/>
      <c r="M2181" s="92"/>
      <c r="N2181" s="92"/>
      <c r="O2181" s="92"/>
      <c r="P2181" s="92"/>
    </row>
    <row r="2182" spans="1:16" s="154" customFormat="1" ht="12">
      <c r="A2182" s="92"/>
      <c r="B2182" s="92"/>
      <c r="C2182" s="92"/>
      <c r="D2182" s="92"/>
      <c r="E2182" s="92"/>
      <c r="F2182" s="92"/>
      <c r="G2182" s="92"/>
      <c r="H2182" s="92"/>
      <c r="I2182" s="92"/>
      <c r="J2182" s="92"/>
      <c r="K2182" s="92"/>
      <c r="L2182" s="92"/>
      <c r="M2182" s="92"/>
      <c r="N2182" s="92"/>
      <c r="O2182" s="92"/>
      <c r="P2182" s="92"/>
    </row>
    <row r="2183" spans="1:16" s="154" customFormat="1" ht="12">
      <c r="A2183" s="92"/>
      <c r="B2183" s="92"/>
      <c r="C2183" s="92"/>
      <c r="D2183" s="92"/>
      <c r="E2183" s="92"/>
      <c r="F2183" s="92"/>
      <c r="G2183" s="92"/>
      <c r="H2183" s="92"/>
      <c r="I2183" s="92"/>
      <c r="J2183" s="92"/>
      <c r="K2183" s="92"/>
      <c r="L2183" s="92"/>
      <c r="M2183" s="92"/>
      <c r="N2183" s="92"/>
      <c r="O2183" s="92"/>
      <c r="P2183" s="92"/>
    </row>
    <row r="2184" spans="1:16" s="154" customFormat="1" ht="12">
      <c r="A2184" s="92"/>
      <c r="B2184" s="92"/>
      <c r="C2184" s="92"/>
      <c r="D2184" s="92"/>
      <c r="E2184" s="92"/>
      <c r="F2184" s="92"/>
      <c r="G2184" s="92"/>
      <c r="H2184" s="92"/>
      <c r="I2184" s="92"/>
      <c r="J2184" s="92"/>
      <c r="K2184" s="92"/>
      <c r="L2184" s="92"/>
      <c r="M2184" s="92"/>
      <c r="N2184" s="92"/>
      <c r="O2184" s="92"/>
      <c r="P2184" s="92"/>
    </row>
    <row r="2185" spans="1:16" s="154" customFormat="1" ht="12">
      <c r="A2185" s="92"/>
      <c r="B2185" s="92"/>
      <c r="C2185" s="92"/>
      <c r="D2185" s="92"/>
      <c r="E2185" s="92"/>
      <c r="F2185" s="92"/>
      <c r="G2185" s="92"/>
      <c r="H2185" s="92"/>
      <c r="I2185" s="92"/>
      <c r="J2185" s="92"/>
      <c r="K2185" s="92"/>
      <c r="L2185" s="92"/>
      <c r="M2185" s="92"/>
      <c r="N2185" s="92"/>
      <c r="O2185" s="92"/>
      <c r="P2185" s="92"/>
    </row>
    <row r="2186" spans="1:16" s="154" customFormat="1" ht="12">
      <c r="A2186" s="92"/>
      <c r="B2186" s="92"/>
      <c r="C2186" s="92"/>
      <c r="D2186" s="92"/>
      <c r="E2186" s="92"/>
      <c r="F2186" s="92"/>
      <c r="G2186" s="92"/>
      <c r="H2186" s="92"/>
      <c r="I2186" s="92"/>
      <c r="J2186" s="92"/>
      <c r="K2186" s="92"/>
      <c r="L2186" s="92"/>
      <c r="M2186" s="92"/>
      <c r="N2186" s="92"/>
      <c r="O2186" s="92"/>
      <c r="P2186" s="92"/>
    </row>
    <row r="2187" spans="1:16" s="154" customFormat="1" ht="12">
      <c r="A2187" s="92"/>
      <c r="B2187" s="92"/>
      <c r="C2187" s="92"/>
      <c r="D2187" s="92"/>
      <c r="E2187" s="92"/>
      <c r="F2187" s="92"/>
      <c r="G2187" s="92"/>
      <c r="H2187" s="92"/>
      <c r="I2187" s="92"/>
      <c r="J2187" s="92"/>
      <c r="K2187" s="92"/>
      <c r="L2187" s="92"/>
      <c r="M2187" s="92"/>
      <c r="N2187" s="92"/>
      <c r="O2187" s="92"/>
      <c r="P2187" s="92"/>
    </row>
    <row r="2188" spans="1:16" s="154" customFormat="1" ht="12">
      <c r="A2188" s="92"/>
      <c r="B2188" s="92"/>
      <c r="C2188" s="92"/>
      <c r="D2188" s="92"/>
      <c r="E2188" s="92"/>
      <c r="F2188" s="92"/>
      <c r="G2188" s="92"/>
      <c r="H2188" s="92"/>
      <c r="I2188" s="92"/>
      <c r="J2188" s="92"/>
      <c r="K2188" s="92"/>
      <c r="L2188" s="92"/>
      <c r="M2188" s="92"/>
      <c r="N2188" s="92"/>
      <c r="O2188" s="92"/>
      <c r="P2188" s="92"/>
    </row>
    <row r="2189" spans="1:16" s="154" customFormat="1" ht="12">
      <c r="A2189" s="92"/>
      <c r="B2189" s="92"/>
      <c r="C2189" s="92"/>
      <c r="D2189" s="92"/>
      <c r="E2189" s="92"/>
      <c r="F2189" s="92"/>
      <c r="G2189" s="92"/>
      <c r="H2189" s="92"/>
      <c r="I2189" s="92"/>
      <c r="J2189" s="92"/>
      <c r="K2189" s="92"/>
      <c r="L2189" s="92"/>
      <c r="M2189" s="92"/>
      <c r="N2189" s="92"/>
      <c r="O2189" s="92"/>
      <c r="P2189" s="92"/>
    </row>
    <row r="2190" spans="1:16" s="154" customFormat="1" ht="12">
      <c r="A2190" s="92"/>
      <c r="B2190" s="92"/>
      <c r="C2190" s="92"/>
      <c r="D2190" s="92"/>
      <c r="E2190" s="92"/>
      <c r="F2190" s="92"/>
      <c r="G2190" s="92"/>
      <c r="H2190" s="92"/>
      <c r="I2190" s="92"/>
      <c r="J2190" s="92"/>
      <c r="K2190" s="92"/>
      <c r="L2190" s="92"/>
      <c r="M2190" s="92"/>
      <c r="N2190" s="92"/>
      <c r="O2190" s="92"/>
      <c r="P2190" s="92"/>
    </row>
    <row r="2191" spans="1:16" s="154" customFormat="1" ht="12">
      <c r="A2191" s="92"/>
      <c r="B2191" s="92"/>
      <c r="C2191" s="92"/>
      <c r="D2191" s="92"/>
      <c r="E2191" s="92"/>
      <c r="F2191" s="92"/>
      <c r="G2191" s="92"/>
      <c r="H2191" s="92"/>
      <c r="I2191" s="92"/>
      <c r="J2191" s="92"/>
      <c r="K2191" s="92"/>
      <c r="L2191" s="92"/>
      <c r="M2191" s="92"/>
      <c r="N2191" s="92"/>
      <c r="O2191" s="92"/>
      <c r="P2191" s="92"/>
    </row>
    <row r="2192" spans="1:16" s="154" customFormat="1" ht="12">
      <c r="A2192" s="92"/>
      <c r="B2192" s="92"/>
      <c r="C2192" s="92"/>
      <c r="D2192" s="92"/>
      <c r="E2192" s="92"/>
      <c r="F2192" s="92"/>
      <c r="G2192" s="92"/>
      <c r="H2192" s="92"/>
      <c r="I2192" s="92"/>
      <c r="J2192" s="92"/>
      <c r="K2192" s="92"/>
      <c r="L2192" s="92"/>
      <c r="M2192" s="92"/>
      <c r="N2192" s="92"/>
      <c r="O2192" s="92"/>
      <c r="P2192" s="92"/>
    </row>
    <row r="2193" spans="1:16" s="154" customFormat="1" ht="12">
      <c r="A2193" s="92"/>
      <c r="B2193" s="92"/>
      <c r="C2193" s="92"/>
      <c r="D2193" s="92"/>
      <c r="E2193" s="92"/>
      <c r="F2193" s="92"/>
      <c r="G2193" s="92"/>
      <c r="H2193" s="92"/>
      <c r="I2193" s="92"/>
      <c r="J2193" s="92"/>
      <c r="K2193" s="92"/>
      <c r="L2193" s="92"/>
      <c r="M2193" s="92"/>
      <c r="N2193" s="92"/>
      <c r="O2193" s="92"/>
      <c r="P2193" s="92"/>
    </row>
    <row r="2194" spans="1:16" s="154" customFormat="1" ht="12">
      <c r="A2194" s="92"/>
      <c r="B2194" s="92"/>
      <c r="C2194" s="92"/>
      <c r="D2194" s="92"/>
      <c r="E2194" s="92"/>
      <c r="F2194" s="92"/>
      <c r="G2194" s="92"/>
      <c r="H2194" s="92"/>
      <c r="I2194" s="92"/>
      <c r="J2194" s="92"/>
      <c r="K2194" s="92"/>
      <c r="L2194" s="92"/>
      <c r="M2194" s="92"/>
      <c r="N2194" s="92"/>
      <c r="O2194" s="92"/>
      <c r="P2194" s="92"/>
    </row>
    <row r="2195" spans="1:16" s="154" customFormat="1" ht="12">
      <c r="A2195" s="92"/>
      <c r="B2195" s="92"/>
      <c r="C2195" s="92"/>
      <c r="D2195" s="92"/>
      <c r="E2195" s="92"/>
      <c r="F2195" s="92"/>
      <c r="G2195" s="92"/>
      <c r="H2195" s="92"/>
      <c r="I2195" s="92"/>
      <c r="J2195" s="92"/>
      <c r="K2195" s="92"/>
      <c r="L2195" s="92"/>
      <c r="M2195" s="92"/>
      <c r="N2195" s="92"/>
      <c r="O2195" s="92"/>
      <c r="P2195" s="92"/>
    </row>
    <row r="2196" spans="1:16" s="154" customFormat="1" ht="12">
      <c r="A2196" s="92"/>
      <c r="B2196" s="92"/>
      <c r="C2196" s="92"/>
      <c r="D2196" s="92"/>
      <c r="E2196" s="92"/>
      <c r="F2196" s="92"/>
      <c r="G2196" s="92"/>
      <c r="H2196" s="92"/>
      <c r="I2196" s="92"/>
      <c r="J2196" s="92"/>
      <c r="K2196" s="92"/>
      <c r="L2196" s="92"/>
      <c r="M2196" s="92"/>
      <c r="N2196" s="92"/>
      <c r="O2196" s="92"/>
      <c r="P2196" s="92"/>
    </row>
    <row r="2197" spans="1:16" s="154" customFormat="1" ht="12">
      <c r="A2197" s="92"/>
      <c r="B2197" s="92"/>
      <c r="C2197" s="92"/>
      <c r="D2197" s="92"/>
      <c r="E2197" s="92"/>
      <c r="F2197" s="92"/>
      <c r="G2197" s="92"/>
      <c r="H2197" s="92"/>
      <c r="I2197" s="92"/>
      <c r="J2197" s="92"/>
      <c r="K2197" s="92"/>
      <c r="L2197" s="92"/>
      <c r="M2197" s="92"/>
      <c r="N2197" s="92"/>
      <c r="O2197" s="92"/>
      <c r="P2197" s="92"/>
    </row>
    <row r="2198" spans="1:16" s="154" customFormat="1" ht="12">
      <c r="A2198" s="92"/>
      <c r="B2198" s="92"/>
      <c r="C2198" s="92"/>
      <c r="D2198" s="92"/>
      <c r="E2198" s="92"/>
      <c r="F2198" s="92"/>
      <c r="G2198" s="92"/>
      <c r="H2198" s="92"/>
      <c r="I2198" s="92"/>
      <c r="J2198" s="92"/>
      <c r="K2198" s="92"/>
      <c r="L2198" s="92"/>
      <c r="M2198" s="92"/>
      <c r="N2198" s="92"/>
      <c r="O2198" s="92"/>
      <c r="P2198" s="92"/>
    </row>
    <row r="2199" spans="1:16" s="154" customFormat="1" ht="12">
      <c r="A2199" s="92"/>
      <c r="B2199" s="92"/>
      <c r="C2199" s="92"/>
      <c r="D2199" s="92"/>
      <c r="E2199" s="92"/>
      <c r="F2199" s="92"/>
      <c r="G2199" s="92"/>
      <c r="H2199" s="92"/>
      <c r="I2199" s="92"/>
      <c r="J2199" s="92"/>
      <c r="K2199" s="92"/>
      <c r="L2199" s="92"/>
      <c r="M2199" s="92"/>
      <c r="N2199" s="92"/>
      <c r="O2199" s="92"/>
      <c r="P2199" s="92"/>
    </row>
    <row r="2200" spans="1:16" s="154" customFormat="1" ht="12">
      <c r="A2200" s="92"/>
      <c r="B2200" s="92"/>
      <c r="C2200" s="92"/>
      <c r="D2200" s="92"/>
      <c r="E2200" s="92"/>
      <c r="F2200" s="92"/>
      <c r="G2200" s="92"/>
      <c r="H2200" s="92"/>
      <c r="I2200" s="92"/>
      <c r="J2200" s="92"/>
      <c r="K2200" s="92"/>
      <c r="L2200" s="92"/>
      <c r="M2200" s="92"/>
      <c r="N2200" s="92"/>
      <c r="O2200" s="92"/>
      <c r="P2200" s="92"/>
    </row>
    <row r="2201" spans="1:16" s="154" customFormat="1" ht="12">
      <c r="A2201" s="92"/>
      <c r="B2201" s="92"/>
      <c r="C2201" s="92"/>
      <c r="D2201" s="92"/>
      <c r="E2201" s="92"/>
      <c r="F2201" s="92"/>
      <c r="G2201" s="92"/>
      <c r="H2201" s="92"/>
      <c r="I2201" s="92"/>
      <c r="J2201" s="92"/>
      <c r="K2201" s="92"/>
      <c r="L2201" s="92"/>
      <c r="M2201" s="92"/>
      <c r="N2201" s="92"/>
      <c r="O2201" s="92"/>
      <c r="P2201" s="92"/>
    </row>
    <row r="2202" spans="1:16" s="154" customFormat="1" ht="12">
      <c r="A2202" s="92"/>
      <c r="B2202" s="92"/>
      <c r="C2202" s="92"/>
      <c r="D2202" s="92"/>
      <c r="E2202" s="92"/>
      <c r="F2202" s="92"/>
      <c r="G2202" s="92"/>
      <c r="H2202" s="92"/>
      <c r="I2202" s="92"/>
      <c r="J2202" s="92"/>
      <c r="K2202" s="92"/>
      <c r="L2202" s="92"/>
      <c r="M2202" s="92"/>
      <c r="N2202" s="92"/>
      <c r="O2202" s="92"/>
      <c r="P2202" s="92"/>
    </row>
    <row r="2203" spans="1:16" s="154" customFormat="1" ht="12">
      <c r="A2203" s="92"/>
      <c r="B2203" s="92"/>
      <c r="C2203" s="92"/>
      <c r="D2203" s="92"/>
      <c r="E2203" s="92"/>
      <c r="F2203" s="92"/>
      <c r="G2203" s="92"/>
      <c r="H2203" s="92"/>
      <c r="I2203" s="92"/>
      <c r="J2203" s="92"/>
      <c r="K2203" s="92"/>
      <c r="L2203" s="92"/>
      <c r="M2203" s="92"/>
      <c r="N2203" s="92"/>
      <c r="O2203" s="92"/>
      <c r="P2203" s="92"/>
    </row>
    <row r="2204" spans="1:16" s="154" customFormat="1" ht="12">
      <c r="A2204" s="92"/>
      <c r="B2204" s="92"/>
      <c r="C2204" s="92"/>
      <c r="D2204" s="92"/>
      <c r="E2204" s="92"/>
      <c r="F2204" s="92"/>
      <c r="G2204" s="92"/>
      <c r="H2204" s="92"/>
      <c r="I2204" s="92"/>
      <c r="J2204" s="92"/>
      <c r="K2204" s="92"/>
      <c r="L2204" s="92"/>
      <c r="M2204" s="92"/>
      <c r="N2204" s="92"/>
      <c r="O2204" s="92"/>
      <c r="P2204" s="92"/>
    </row>
    <row r="2205" spans="1:16" s="154" customFormat="1" ht="12">
      <c r="A2205" s="92"/>
      <c r="B2205" s="92"/>
      <c r="C2205" s="92"/>
      <c r="D2205" s="92"/>
      <c r="E2205" s="92"/>
      <c r="F2205" s="92"/>
      <c r="G2205" s="92"/>
      <c r="H2205" s="92"/>
      <c r="I2205" s="92"/>
      <c r="J2205" s="92"/>
      <c r="K2205" s="92"/>
      <c r="L2205" s="92"/>
      <c r="M2205" s="92"/>
      <c r="N2205" s="92"/>
      <c r="O2205" s="92"/>
      <c r="P2205" s="92"/>
    </row>
    <row r="2206" spans="1:16" s="154" customFormat="1" ht="12">
      <c r="A2206" s="92"/>
      <c r="B2206" s="92"/>
      <c r="C2206" s="92"/>
      <c r="D2206" s="92"/>
      <c r="E2206" s="92"/>
      <c r="F2206" s="92"/>
      <c r="G2206" s="92"/>
      <c r="H2206" s="92"/>
      <c r="I2206" s="92"/>
      <c r="J2206" s="92"/>
      <c r="K2206" s="92"/>
      <c r="L2206" s="92"/>
      <c r="M2206" s="92"/>
      <c r="N2206" s="92"/>
      <c r="O2206" s="92"/>
      <c r="P2206" s="92"/>
    </row>
    <row r="2207" spans="1:16" s="154" customFormat="1" ht="12">
      <c r="A2207" s="92"/>
      <c r="B2207" s="92"/>
      <c r="C2207" s="92"/>
      <c r="D2207" s="92"/>
      <c r="E2207" s="92"/>
      <c r="F2207" s="92"/>
      <c r="G2207" s="92"/>
      <c r="H2207" s="92"/>
      <c r="I2207" s="92"/>
      <c r="J2207" s="92"/>
      <c r="K2207" s="92"/>
      <c r="L2207" s="92"/>
      <c r="M2207" s="92"/>
      <c r="N2207" s="92"/>
      <c r="O2207" s="92"/>
      <c r="P2207" s="92"/>
    </row>
    <row r="2208" spans="1:16" s="154" customFormat="1" ht="12">
      <c r="A2208" s="92"/>
      <c r="B2208" s="92"/>
      <c r="C2208" s="92"/>
      <c r="D2208" s="92"/>
      <c r="E2208" s="92"/>
      <c r="F2208" s="92"/>
      <c r="G2208" s="92"/>
      <c r="H2208" s="92"/>
      <c r="I2208" s="92"/>
      <c r="J2208" s="92"/>
      <c r="K2208" s="92"/>
      <c r="L2208" s="92"/>
      <c r="M2208" s="92"/>
      <c r="N2208" s="92"/>
      <c r="O2208" s="92"/>
      <c r="P2208" s="92"/>
    </row>
    <row r="2209" spans="1:16" s="154" customFormat="1" ht="12">
      <c r="A2209" s="92"/>
      <c r="B2209" s="92"/>
      <c r="C2209" s="92"/>
      <c r="D2209" s="92"/>
      <c r="E2209" s="92"/>
      <c r="F2209" s="92"/>
      <c r="G2209" s="92"/>
      <c r="H2209" s="92"/>
      <c r="I2209" s="92"/>
      <c r="J2209" s="92"/>
      <c r="K2209" s="92"/>
      <c r="L2209" s="92"/>
      <c r="M2209" s="92"/>
      <c r="N2209" s="92"/>
      <c r="O2209" s="92"/>
      <c r="P2209" s="92"/>
    </row>
    <row r="2210" spans="1:16" s="154" customFormat="1" ht="12">
      <c r="A2210" s="92"/>
      <c r="B2210" s="92"/>
      <c r="C2210" s="92"/>
      <c r="D2210" s="92"/>
      <c r="E2210" s="92"/>
      <c r="F2210" s="92"/>
      <c r="G2210" s="92"/>
      <c r="H2210" s="92"/>
      <c r="I2210" s="92"/>
      <c r="J2210" s="92"/>
      <c r="K2210" s="92"/>
      <c r="L2210" s="92"/>
      <c r="M2210" s="92"/>
      <c r="N2210" s="92"/>
      <c r="O2210" s="92"/>
      <c r="P2210" s="92"/>
    </row>
    <row r="2211" spans="1:16" s="154" customFormat="1" ht="12">
      <c r="A2211" s="92"/>
      <c r="B2211" s="92"/>
      <c r="C2211" s="92"/>
      <c r="D2211" s="92"/>
      <c r="E2211" s="92"/>
      <c r="F2211" s="92"/>
      <c r="G2211" s="92"/>
      <c r="H2211" s="92"/>
      <c r="I2211" s="92"/>
      <c r="J2211" s="92"/>
      <c r="K2211" s="92"/>
      <c r="L2211" s="92"/>
      <c r="M2211" s="92"/>
      <c r="N2211" s="92"/>
      <c r="O2211" s="92"/>
      <c r="P2211" s="92"/>
    </row>
    <row r="2212" spans="1:16" s="154" customFormat="1" ht="12">
      <c r="A2212" s="92"/>
      <c r="B2212" s="92"/>
      <c r="C2212" s="92"/>
      <c r="D2212" s="92"/>
      <c r="E2212" s="92"/>
      <c r="F2212" s="92"/>
      <c r="G2212" s="92"/>
      <c r="H2212" s="92"/>
      <c r="I2212" s="92"/>
      <c r="J2212" s="92"/>
      <c r="K2212" s="92"/>
      <c r="L2212" s="92"/>
      <c r="M2212" s="92"/>
      <c r="N2212" s="92"/>
      <c r="O2212" s="92"/>
      <c r="P2212" s="92"/>
    </row>
    <row r="2213" spans="1:16" s="154" customFormat="1" ht="12">
      <c r="A2213" s="92"/>
      <c r="B2213" s="92"/>
      <c r="C2213" s="92"/>
      <c r="D2213" s="92"/>
      <c r="E2213" s="92"/>
      <c r="F2213" s="92"/>
      <c r="G2213" s="92"/>
      <c r="H2213" s="92"/>
      <c r="I2213" s="92"/>
      <c r="J2213" s="92"/>
      <c r="K2213" s="92"/>
      <c r="L2213" s="92"/>
      <c r="M2213" s="92"/>
      <c r="N2213" s="92"/>
      <c r="O2213" s="92"/>
      <c r="P2213" s="92"/>
    </row>
    <row r="2214" spans="1:16" s="154" customFormat="1" ht="12">
      <c r="A2214" s="92"/>
      <c r="B2214" s="92"/>
      <c r="C2214" s="92"/>
      <c r="D2214" s="92"/>
      <c r="E2214" s="92"/>
      <c r="F2214" s="92"/>
      <c r="G2214" s="92"/>
      <c r="H2214" s="92"/>
      <c r="I2214" s="92"/>
      <c r="J2214" s="92"/>
      <c r="K2214" s="92"/>
      <c r="L2214" s="92"/>
      <c r="M2214" s="92"/>
      <c r="N2214" s="92"/>
      <c r="O2214" s="92"/>
      <c r="P2214" s="92"/>
    </row>
    <row r="2215" spans="1:16" s="154" customFormat="1" ht="12">
      <c r="A2215" s="92"/>
      <c r="B2215" s="92"/>
      <c r="C2215" s="92"/>
      <c r="D2215" s="92"/>
      <c r="E2215" s="92"/>
      <c r="F2215" s="92"/>
      <c r="G2215" s="92"/>
      <c r="H2215" s="92"/>
      <c r="I2215" s="92"/>
      <c r="J2215" s="92"/>
      <c r="K2215" s="92"/>
      <c r="L2215" s="92"/>
      <c r="M2215" s="92"/>
      <c r="N2215" s="92"/>
      <c r="O2215" s="92"/>
      <c r="P2215" s="92"/>
    </row>
    <row r="2216" spans="1:16" s="154" customFormat="1" ht="12">
      <c r="A2216" s="92"/>
      <c r="B2216" s="92"/>
      <c r="C2216" s="92"/>
      <c r="D2216" s="92"/>
      <c r="E2216" s="92"/>
      <c r="F2216" s="92"/>
      <c r="G2216" s="92"/>
      <c r="H2216" s="92"/>
      <c r="I2216" s="92"/>
      <c r="J2216" s="92"/>
      <c r="K2216" s="92"/>
      <c r="L2216" s="92"/>
      <c r="M2216" s="92"/>
      <c r="N2216" s="92"/>
      <c r="O2216" s="92"/>
      <c r="P2216" s="92"/>
    </row>
    <row r="2217" spans="1:16" s="154" customFormat="1" ht="12">
      <c r="A2217" s="92"/>
      <c r="B2217" s="92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</row>
    <row r="2218" spans="1:16" s="154" customFormat="1" ht="12">
      <c r="A2218" s="92"/>
      <c r="B2218" s="92"/>
      <c r="C2218" s="92"/>
      <c r="D2218" s="92"/>
      <c r="E2218" s="92"/>
      <c r="F2218" s="92"/>
      <c r="G2218" s="92"/>
      <c r="H2218" s="92"/>
      <c r="I2218" s="92"/>
      <c r="J2218" s="92"/>
      <c r="K2218" s="92"/>
      <c r="L2218" s="92"/>
      <c r="M2218" s="92"/>
      <c r="N2218" s="92"/>
      <c r="O2218" s="92"/>
      <c r="P2218" s="92"/>
    </row>
    <row r="2219" spans="1:16" s="154" customFormat="1" ht="12">
      <c r="A2219" s="92"/>
      <c r="B2219" s="92"/>
      <c r="C2219" s="92"/>
      <c r="D2219" s="92"/>
      <c r="E2219" s="92"/>
      <c r="F2219" s="92"/>
      <c r="G2219" s="92"/>
      <c r="H2219" s="92"/>
      <c r="I2219" s="92"/>
      <c r="J2219" s="92"/>
      <c r="K2219" s="92"/>
      <c r="L2219" s="92"/>
      <c r="M2219" s="92"/>
      <c r="N2219" s="92"/>
      <c r="O2219" s="92"/>
      <c r="P2219" s="92"/>
    </row>
    <row r="2220" spans="1:16" s="154" customFormat="1" ht="12">
      <c r="A2220" s="92"/>
      <c r="B2220" s="92"/>
      <c r="C2220" s="92"/>
      <c r="D2220" s="92"/>
      <c r="E2220" s="92"/>
      <c r="F2220" s="92"/>
      <c r="G2220" s="92"/>
      <c r="H2220" s="92"/>
      <c r="I2220" s="92"/>
      <c r="J2220" s="92"/>
      <c r="K2220" s="92"/>
      <c r="L2220" s="92"/>
      <c r="M2220" s="92"/>
      <c r="N2220" s="92"/>
      <c r="O2220" s="92"/>
      <c r="P2220" s="92"/>
    </row>
    <row r="2221" spans="1:16" s="154" customFormat="1" ht="12">
      <c r="A2221" s="92"/>
      <c r="B2221" s="92"/>
      <c r="C2221" s="92"/>
      <c r="D2221" s="92"/>
      <c r="E2221" s="92"/>
      <c r="F2221" s="92"/>
      <c r="G2221" s="92"/>
      <c r="H2221" s="92"/>
      <c r="I2221" s="92"/>
      <c r="J2221" s="92"/>
      <c r="K2221" s="92"/>
      <c r="L2221" s="92"/>
      <c r="M2221" s="92"/>
      <c r="N2221" s="92"/>
      <c r="O2221" s="92"/>
      <c r="P2221" s="92"/>
    </row>
    <row r="2222" spans="1:16" s="154" customFormat="1" ht="12">
      <c r="A2222" s="92"/>
      <c r="B2222" s="92"/>
      <c r="C2222" s="92"/>
      <c r="D2222" s="92"/>
      <c r="E2222" s="92"/>
      <c r="F2222" s="92"/>
      <c r="G2222" s="92"/>
      <c r="H2222" s="92"/>
      <c r="I2222" s="92"/>
      <c r="J2222" s="92"/>
      <c r="K2222" s="92"/>
      <c r="L2222" s="92"/>
      <c r="M2222" s="92"/>
      <c r="N2222" s="92"/>
      <c r="O2222" s="92"/>
      <c r="P2222" s="92"/>
    </row>
    <row r="2223" spans="1:16" s="154" customFormat="1" ht="12">
      <c r="A2223" s="92"/>
      <c r="B2223" s="92"/>
      <c r="C2223" s="92"/>
      <c r="D2223" s="92"/>
      <c r="E2223" s="92"/>
      <c r="F2223" s="92"/>
      <c r="G2223" s="92"/>
      <c r="H2223" s="92"/>
      <c r="I2223" s="92"/>
      <c r="J2223" s="92"/>
      <c r="K2223" s="92"/>
      <c r="L2223" s="92"/>
      <c r="M2223" s="92"/>
      <c r="N2223" s="92"/>
      <c r="O2223" s="92"/>
      <c r="P2223" s="92"/>
    </row>
    <row r="2224" spans="1:16" s="154" customFormat="1" ht="12">
      <c r="A2224" s="92"/>
      <c r="B2224" s="92"/>
      <c r="C2224" s="92"/>
      <c r="D2224" s="92"/>
      <c r="E2224" s="92"/>
      <c r="F2224" s="92"/>
      <c r="G2224" s="92"/>
      <c r="H2224" s="92"/>
      <c r="I2224" s="92"/>
      <c r="J2224" s="92"/>
      <c r="K2224" s="92"/>
      <c r="L2224" s="92"/>
      <c r="M2224" s="92"/>
      <c r="N2224" s="92"/>
      <c r="O2224" s="92"/>
      <c r="P2224" s="92"/>
    </row>
    <row r="2225" spans="1:16" s="154" customFormat="1" ht="12">
      <c r="A2225" s="92"/>
      <c r="B2225" s="92"/>
      <c r="C2225" s="92"/>
      <c r="D2225" s="92"/>
      <c r="E2225" s="92"/>
      <c r="F2225" s="92"/>
      <c r="G2225" s="92"/>
      <c r="H2225" s="92"/>
      <c r="I2225" s="92"/>
      <c r="J2225" s="92"/>
      <c r="K2225" s="92"/>
      <c r="L2225" s="92"/>
      <c r="M2225" s="92"/>
      <c r="N2225" s="92"/>
      <c r="O2225" s="92"/>
      <c r="P2225" s="92"/>
    </row>
    <row r="2226" spans="1:16" s="154" customFormat="1" ht="12">
      <c r="A2226" s="92"/>
      <c r="B2226" s="92"/>
      <c r="C2226" s="92"/>
      <c r="D2226" s="92"/>
      <c r="E2226" s="92"/>
      <c r="F2226" s="92"/>
      <c r="G2226" s="92"/>
      <c r="H2226" s="92"/>
      <c r="I2226" s="92"/>
      <c r="J2226" s="92"/>
      <c r="K2226" s="92"/>
      <c r="L2226" s="92"/>
      <c r="M2226" s="92"/>
      <c r="N2226" s="92"/>
      <c r="O2226" s="92"/>
      <c r="P2226" s="92"/>
    </row>
    <row r="2227" spans="1:16" s="154" customFormat="1" ht="12">
      <c r="A2227" s="92"/>
      <c r="B2227" s="92"/>
      <c r="C2227" s="92"/>
      <c r="D2227" s="92"/>
      <c r="E2227" s="92"/>
      <c r="F2227" s="92"/>
      <c r="G2227" s="92"/>
      <c r="H2227" s="92"/>
      <c r="I2227" s="92"/>
      <c r="J2227" s="92"/>
      <c r="K2227" s="92"/>
      <c r="L2227" s="92"/>
      <c r="M2227" s="92"/>
      <c r="N2227" s="92"/>
      <c r="O2227" s="92"/>
      <c r="P2227" s="92"/>
    </row>
    <row r="2228" spans="1:16" s="154" customFormat="1" ht="12">
      <c r="A2228" s="92"/>
      <c r="B2228" s="92"/>
      <c r="C2228" s="92"/>
      <c r="D2228" s="92"/>
      <c r="E2228" s="92"/>
      <c r="F2228" s="92"/>
      <c r="G2228" s="92"/>
      <c r="H2228" s="92"/>
      <c r="I2228" s="92"/>
      <c r="J2228" s="92"/>
      <c r="K2228" s="92"/>
      <c r="L2228" s="92"/>
      <c r="M2228" s="92"/>
      <c r="N2228" s="92"/>
      <c r="O2228" s="92"/>
      <c r="P2228" s="92"/>
    </row>
    <row r="2229" spans="1:16" s="154" customFormat="1" ht="12">
      <c r="A2229" s="92"/>
      <c r="B2229" s="92"/>
      <c r="C2229" s="92"/>
      <c r="D2229" s="92"/>
      <c r="E2229" s="92"/>
      <c r="F2229" s="92"/>
      <c r="G2229" s="92"/>
      <c r="H2229" s="92"/>
      <c r="I2229" s="92"/>
      <c r="J2229" s="92"/>
      <c r="K2229" s="92"/>
      <c r="L2229" s="92"/>
      <c r="M2229" s="92"/>
      <c r="N2229" s="92"/>
      <c r="O2229" s="92"/>
      <c r="P2229" s="92"/>
    </row>
    <row r="2230" spans="1:16" s="154" customFormat="1" ht="12">
      <c r="A2230" s="92"/>
      <c r="B2230" s="92"/>
      <c r="C2230" s="92"/>
      <c r="D2230" s="92"/>
      <c r="E2230" s="92"/>
      <c r="F2230" s="92"/>
      <c r="G2230" s="92"/>
      <c r="H2230" s="92"/>
      <c r="I2230" s="92"/>
      <c r="J2230" s="92"/>
      <c r="K2230" s="92"/>
      <c r="L2230" s="92"/>
      <c r="M2230" s="92"/>
      <c r="N2230" s="92"/>
      <c r="O2230" s="92"/>
      <c r="P2230" s="92"/>
    </row>
    <row r="2231" spans="1:16" s="154" customFormat="1" ht="12">
      <c r="A2231" s="92"/>
      <c r="B2231" s="92"/>
      <c r="C2231" s="92"/>
      <c r="D2231" s="92"/>
      <c r="E2231" s="92"/>
      <c r="F2231" s="92"/>
      <c r="G2231" s="92"/>
      <c r="H2231" s="92"/>
      <c r="I2231" s="92"/>
      <c r="J2231" s="92"/>
      <c r="K2231" s="92"/>
      <c r="L2231" s="92"/>
      <c r="M2231" s="92"/>
      <c r="N2231" s="92"/>
      <c r="O2231" s="92"/>
      <c r="P2231" s="92"/>
    </row>
    <row r="2232" spans="1:16" s="154" customFormat="1" ht="12">
      <c r="A2232" s="92"/>
      <c r="B2232" s="92"/>
      <c r="C2232" s="92"/>
      <c r="D2232" s="92"/>
      <c r="E2232" s="92"/>
      <c r="F2232" s="92"/>
      <c r="G2232" s="92"/>
      <c r="H2232" s="92"/>
      <c r="I2232" s="92"/>
      <c r="J2232" s="92"/>
      <c r="K2232" s="92"/>
      <c r="L2232" s="92"/>
      <c r="M2232" s="92"/>
      <c r="N2232" s="92"/>
      <c r="O2232" s="92"/>
      <c r="P2232" s="92"/>
    </row>
    <row r="2233" spans="1:16" s="154" customFormat="1" ht="12">
      <c r="A2233" s="92"/>
      <c r="B2233" s="92"/>
      <c r="C2233" s="92"/>
      <c r="D2233" s="92"/>
      <c r="E2233" s="92"/>
      <c r="F2233" s="92"/>
      <c r="G2233" s="92"/>
      <c r="H2233" s="92"/>
      <c r="I2233" s="92"/>
      <c r="J2233" s="92"/>
      <c r="K2233" s="92"/>
      <c r="L2233" s="92"/>
      <c r="M2233" s="92"/>
      <c r="N2233" s="92"/>
      <c r="O2233" s="92"/>
      <c r="P2233" s="92"/>
    </row>
    <row r="2234" spans="1:16" s="154" customFormat="1" ht="12">
      <c r="A2234" s="92"/>
      <c r="B2234" s="92"/>
      <c r="C2234" s="92"/>
      <c r="D2234" s="92"/>
      <c r="E2234" s="92"/>
      <c r="F2234" s="92"/>
      <c r="G2234" s="92"/>
      <c r="H2234" s="92"/>
      <c r="I2234" s="92"/>
      <c r="J2234" s="92"/>
      <c r="K2234" s="92"/>
      <c r="L2234" s="92"/>
      <c r="M2234" s="92"/>
      <c r="N2234" s="92"/>
      <c r="O2234" s="92"/>
      <c r="P2234" s="92"/>
    </row>
    <row r="2235" spans="1:16" s="154" customFormat="1" ht="12">
      <c r="A2235" s="92"/>
      <c r="B2235" s="92"/>
      <c r="C2235" s="92"/>
      <c r="D2235" s="92"/>
      <c r="E2235" s="92"/>
      <c r="F2235" s="92"/>
      <c r="G2235" s="92"/>
      <c r="H2235" s="92"/>
      <c r="I2235" s="92"/>
      <c r="J2235" s="92"/>
      <c r="K2235" s="92"/>
      <c r="L2235" s="92"/>
      <c r="M2235" s="92"/>
      <c r="N2235" s="92"/>
      <c r="O2235" s="92"/>
      <c r="P2235" s="92"/>
    </row>
    <row r="2236" spans="1:16" s="154" customFormat="1" ht="12">
      <c r="A2236" s="92"/>
      <c r="B2236" s="92"/>
      <c r="C2236" s="92"/>
      <c r="D2236" s="92"/>
      <c r="E2236" s="92"/>
      <c r="F2236" s="92"/>
      <c r="G2236" s="92"/>
      <c r="H2236" s="92"/>
      <c r="I2236" s="92"/>
      <c r="J2236" s="92"/>
      <c r="K2236" s="92"/>
      <c r="L2236" s="92"/>
      <c r="M2236" s="92"/>
      <c r="N2236" s="92"/>
      <c r="O2236" s="92"/>
      <c r="P2236" s="92"/>
    </row>
    <row r="2237" spans="1:16" s="154" customFormat="1" ht="12">
      <c r="A2237" s="92"/>
      <c r="B2237" s="92"/>
      <c r="C2237" s="92"/>
      <c r="D2237" s="92"/>
      <c r="E2237" s="92"/>
      <c r="F2237" s="92"/>
      <c r="G2237" s="92"/>
      <c r="H2237" s="92"/>
      <c r="I2237" s="92"/>
      <c r="J2237" s="92"/>
      <c r="K2237" s="92"/>
      <c r="L2237" s="92"/>
      <c r="M2237" s="92"/>
      <c r="N2237" s="92"/>
      <c r="O2237" s="92"/>
      <c r="P2237" s="92"/>
    </row>
    <row r="2238" spans="1:16" s="154" customFormat="1" ht="12">
      <c r="A2238" s="92"/>
      <c r="B2238" s="92"/>
      <c r="C2238" s="92"/>
      <c r="D2238" s="92"/>
      <c r="E2238" s="92"/>
      <c r="F2238" s="92"/>
      <c r="G2238" s="92"/>
      <c r="H2238" s="92"/>
      <c r="I2238" s="92"/>
      <c r="J2238" s="92"/>
      <c r="K2238" s="92"/>
      <c r="L2238" s="92"/>
      <c r="M2238" s="92"/>
      <c r="N2238" s="92"/>
      <c r="O2238" s="92"/>
      <c r="P2238" s="92"/>
    </row>
    <row r="2239" spans="1:16" s="154" customFormat="1" ht="12">
      <c r="A2239" s="92"/>
      <c r="B2239" s="92"/>
      <c r="C2239" s="92"/>
      <c r="D2239" s="92"/>
      <c r="E2239" s="92"/>
      <c r="F2239" s="92"/>
      <c r="G2239" s="92"/>
      <c r="H2239" s="92"/>
      <c r="I2239" s="92"/>
      <c r="J2239" s="92"/>
      <c r="K2239" s="92"/>
      <c r="L2239" s="92"/>
      <c r="M2239" s="92"/>
      <c r="N2239" s="92"/>
      <c r="O2239" s="92"/>
      <c r="P2239" s="92"/>
    </row>
    <row r="2240" spans="1:16" s="154" customFormat="1" ht="12">
      <c r="A2240" s="92"/>
      <c r="B2240" s="92"/>
      <c r="C2240" s="92"/>
      <c r="D2240" s="92"/>
      <c r="E2240" s="92"/>
      <c r="F2240" s="92"/>
      <c r="G2240" s="92"/>
      <c r="H2240" s="92"/>
      <c r="I2240" s="92"/>
      <c r="J2240" s="92"/>
      <c r="K2240" s="92"/>
      <c r="L2240" s="92"/>
      <c r="M2240" s="92"/>
      <c r="N2240" s="92"/>
      <c r="O2240" s="92"/>
      <c r="P2240" s="92"/>
    </row>
    <row r="2241" spans="1:16" s="154" customFormat="1" ht="12">
      <c r="A2241" s="92"/>
      <c r="B2241" s="92"/>
      <c r="C2241" s="92"/>
      <c r="D2241" s="92"/>
      <c r="E2241" s="92"/>
      <c r="F2241" s="92"/>
      <c r="G2241" s="92"/>
      <c r="H2241" s="92"/>
      <c r="I2241" s="92"/>
      <c r="J2241" s="92"/>
      <c r="K2241" s="92"/>
      <c r="L2241" s="92"/>
      <c r="M2241" s="92"/>
      <c r="N2241" s="92"/>
      <c r="O2241" s="92"/>
      <c r="P2241" s="92"/>
    </row>
    <row r="2242" spans="1:16" s="154" customFormat="1" ht="12">
      <c r="A2242" s="92"/>
      <c r="B2242" s="92"/>
      <c r="C2242" s="92"/>
      <c r="D2242" s="92"/>
      <c r="E2242" s="92"/>
      <c r="F2242" s="92"/>
      <c r="G2242" s="92"/>
      <c r="H2242" s="92"/>
      <c r="I2242" s="92"/>
      <c r="J2242" s="92"/>
      <c r="K2242" s="92"/>
      <c r="L2242" s="92"/>
      <c r="M2242" s="92"/>
      <c r="N2242" s="92"/>
      <c r="O2242" s="92"/>
      <c r="P2242" s="92"/>
    </row>
    <row r="2243" spans="1:16" s="154" customFormat="1" ht="12">
      <c r="A2243" s="92"/>
      <c r="B2243" s="92"/>
      <c r="C2243" s="92"/>
      <c r="D2243" s="92"/>
      <c r="E2243" s="92"/>
      <c r="F2243" s="92"/>
      <c r="G2243" s="92"/>
      <c r="H2243" s="92"/>
      <c r="I2243" s="92"/>
      <c r="J2243" s="92"/>
      <c r="K2243" s="92"/>
      <c r="L2243" s="92"/>
      <c r="M2243" s="92"/>
      <c r="N2243" s="92"/>
      <c r="O2243" s="92"/>
      <c r="P2243" s="92"/>
    </row>
    <row r="2244" spans="1:16" s="154" customFormat="1" ht="12">
      <c r="A2244" s="92"/>
      <c r="B2244" s="92"/>
      <c r="C2244" s="92"/>
      <c r="D2244" s="92"/>
      <c r="E2244" s="92"/>
      <c r="F2244" s="92"/>
      <c r="G2244" s="92"/>
      <c r="H2244" s="92"/>
      <c r="I2244" s="92"/>
      <c r="J2244" s="92"/>
      <c r="K2244" s="92"/>
      <c r="L2244" s="92"/>
      <c r="M2244" s="92"/>
      <c r="N2244" s="92"/>
      <c r="O2244" s="92"/>
      <c r="P2244" s="92"/>
    </row>
    <row r="2245" spans="1:16" s="154" customFormat="1" ht="12">
      <c r="A2245" s="92"/>
      <c r="B2245" s="92"/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</row>
    <row r="2246" spans="1:16" s="154" customFormat="1" ht="12">
      <c r="A2246" s="92"/>
      <c r="B2246" s="92"/>
      <c r="C2246" s="92"/>
      <c r="D2246" s="92"/>
      <c r="E2246" s="92"/>
      <c r="F2246" s="92"/>
      <c r="G2246" s="92"/>
      <c r="H2246" s="92"/>
      <c r="I2246" s="92"/>
      <c r="J2246" s="92"/>
      <c r="K2246" s="92"/>
      <c r="L2246" s="92"/>
      <c r="M2246" s="92"/>
      <c r="N2246" s="92"/>
      <c r="O2246" s="92"/>
      <c r="P2246" s="92"/>
    </row>
    <row r="2247" spans="1:16" s="154" customFormat="1" ht="12">
      <c r="A2247" s="92"/>
      <c r="B2247" s="92"/>
      <c r="C2247" s="92"/>
      <c r="D2247" s="92"/>
      <c r="E2247" s="92"/>
      <c r="F2247" s="92"/>
      <c r="G2247" s="92"/>
      <c r="H2247" s="92"/>
      <c r="I2247" s="92"/>
      <c r="J2247" s="92"/>
      <c r="K2247" s="92"/>
      <c r="L2247" s="92"/>
      <c r="M2247" s="92"/>
      <c r="N2247" s="92"/>
      <c r="O2247" s="92"/>
      <c r="P2247" s="92"/>
    </row>
    <row r="2248" spans="1:16" s="154" customFormat="1" ht="12">
      <c r="A2248" s="92"/>
      <c r="B2248" s="92"/>
      <c r="C2248" s="92"/>
      <c r="D2248" s="92"/>
      <c r="E2248" s="92"/>
      <c r="F2248" s="92"/>
      <c r="G2248" s="92"/>
      <c r="H2248" s="92"/>
      <c r="I2248" s="92"/>
      <c r="J2248" s="92"/>
      <c r="K2248" s="92"/>
      <c r="L2248" s="92"/>
      <c r="M2248" s="92"/>
      <c r="N2248" s="92"/>
      <c r="O2248" s="92"/>
      <c r="P2248" s="92"/>
    </row>
    <row r="2249" spans="1:16" s="154" customFormat="1" ht="12">
      <c r="A2249" s="92"/>
      <c r="B2249" s="92"/>
      <c r="C2249" s="92"/>
      <c r="D2249" s="92"/>
      <c r="E2249" s="92"/>
      <c r="F2249" s="92"/>
      <c r="G2249" s="92"/>
      <c r="H2249" s="92"/>
      <c r="I2249" s="92"/>
      <c r="J2249" s="92"/>
      <c r="K2249" s="92"/>
      <c r="L2249" s="92"/>
      <c r="M2249" s="92"/>
      <c r="N2249" s="92"/>
      <c r="O2249" s="92"/>
      <c r="P2249" s="92"/>
    </row>
    <row r="2250" spans="1:16" s="154" customFormat="1" ht="12">
      <c r="A2250" s="92"/>
      <c r="B2250" s="92"/>
      <c r="C2250" s="92"/>
      <c r="D2250" s="92"/>
      <c r="E2250" s="92"/>
      <c r="F2250" s="92"/>
      <c r="G2250" s="92"/>
      <c r="H2250" s="92"/>
      <c r="I2250" s="92"/>
      <c r="J2250" s="92"/>
      <c r="K2250" s="92"/>
      <c r="L2250" s="92"/>
      <c r="M2250" s="92"/>
      <c r="N2250" s="92"/>
      <c r="O2250" s="92"/>
      <c r="P2250" s="92"/>
    </row>
    <row r="2251" spans="1:16" s="154" customFormat="1" ht="12">
      <c r="A2251" s="92"/>
      <c r="B2251" s="92"/>
      <c r="C2251" s="92"/>
      <c r="D2251" s="92"/>
      <c r="E2251" s="92"/>
      <c r="F2251" s="92"/>
      <c r="G2251" s="92"/>
      <c r="H2251" s="92"/>
      <c r="I2251" s="92"/>
      <c r="J2251" s="92"/>
      <c r="K2251" s="92"/>
      <c r="L2251" s="92"/>
      <c r="M2251" s="92"/>
      <c r="N2251" s="92"/>
      <c r="O2251" s="92"/>
      <c r="P2251" s="92"/>
    </row>
    <row r="2252" spans="1:16" s="154" customFormat="1" ht="12">
      <c r="A2252" s="92"/>
      <c r="B2252" s="92"/>
      <c r="C2252" s="92"/>
      <c r="D2252" s="92"/>
      <c r="E2252" s="92"/>
      <c r="F2252" s="92"/>
      <c r="G2252" s="92"/>
      <c r="H2252" s="92"/>
      <c r="I2252" s="92"/>
      <c r="J2252" s="92"/>
      <c r="K2252" s="92"/>
      <c r="L2252" s="92"/>
      <c r="M2252" s="92"/>
      <c r="N2252" s="92"/>
      <c r="O2252" s="92"/>
      <c r="P2252" s="92"/>
    </row>
    <row r="2253" spans="1:16" s="154" customFormat="1" ht="12">
      <c r="A2253" s="92"/>
      <c r="B2253" s="92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</row>
    <row r="2254" spans="1:16" s="154" customFormat="1" ht="12">
      <c r="A2254" s="92"/>
      <c r="B2254" s="92"/>
      <c r="C2254" s="92"/>
      <c r="D2254" s="92"/>
      <c r="E2254" s="92"/>
      <c r="F2254" s="92"/>
      <c r="G2254" s="92"/>
      <c r="H2254" s="92"/>
      <c r="I2254" s="92"/>
      <c r="J2254" s="92"/>
      <c r="K2254" s="92"/>
      <c r="L2254" s="92"/>
      <c r="M2254" s="92"/>
      <c r="N2254" s="92"/>
      <c r="O2254" s="92"/>
      <c r="P2254" s="92"/>
    </row>
    <row r="2255" spans="1:16" s="154" customFormat="1" ht="12">
      <c r="A2255" s="92"/>
      <c r="B2255" s="92"/>
      <c r="C2255" s="92"/>
      <c r="D2255" s="92"/>
      <c r="E2255" s="92"/>
      <c r="F2255" s="92"/>
      <c r="G2255" s="92"/>
      <c r="H2255" s="92"/>
      <c r="I2255" s="92"/>
      <c r="J2255" s="92"/>
      <c r="K2255" s="92"/>
      <c r="L2255" s="92"/>
      <c r="M2255" s="92"/>
      <c r="N2255" s="92"/>
      <c r="O2255" s="92"/>
      <c r="P2255" s="92"/>
    </row>
    <row r="2256" spans="1:16" s="154" customFormat="1" ht="12">
      <c r="A2256" s="92"/>
      <c r="B2256" s="92"/>
      <c r="C2256" s="92"/>
      <c r="D2256" s="92"/>
      <c r="E2256" s="92"/>
      <c r="F2256" s="92"/>
      <c r="G2256" s="92"/>
      <c r="H2256" s="92"/>
      <c r="I2256" s="92"/>
      <c r="J2256" s="92"/>
      <c r="K2256" s="92"/>
      <c r="L2256" s="92"/>
      <c r="M2256" s="92"/>
      <c r="N2256" s="92"/>
      <c r="O2256" s="92"/>
      <c r="P2256" s="92"/>
    </row>
    <row r="2257" spans="1:16" s="154" customFormat="1" ht="12">
      <c r="A2257" s="92"/>
      <c r="B2257" s="92"/>
      <c r="C2257" s="92"/>
      <c r="D2257" s="92"/>
      <c r="E2257" s="92"/>
      <c r="F2257" s="92"/>
      <c r="G2257" s="92"/>
      <c r="H2257" s="92"/>
      <c r="I2257" s="92"/>
      <c r="J2257" s="92"/>
      <c r="K2257" s="92"/>
      <c r="L2257" s="92"/>
      <c r="M2257" s="92"/>
      <c r="N2257" s="92"/>
      <c r="O2257" s="92"/>
      <c r="P2257" s="92"/>
    </row>
    <row r="2258" spans="1:16" s="154" customFormat="1" ht="12">
      <c r="A2258" s="92"/>
      <c r="B2258" s="92"/>
      <c r="C2258" s="92"/>
      <c r="D2258" s="92"/>
      <c r="E2258" s="92"/>
      <c r="F2258" s="92"/>
      <c r="G2258" s="92"/>
      <c r="H2258" s="92"/>
      <c r="I2258" s="92"/>
      <c r="J2258" s="92"/>
      <c r="K2258" s="92"/>
      <c r="L2258" s="92"/>
      <c r="M2258" s="92"/>
      <c r="N2258" s="92"/>
      <c r="O2258" s="92"/>
      <c r="P2258" s="92"/>
    </row>
    <row r="2259" spans="1:16" s="154" customFormat="1" ht="12">
      <c r="A2259" s="92"/>
      <c r="B2259" s="92"/>
      <c r="C2259" s="92"/>
      <c r="D2259" s="92"/>
      <c r="E2259" s="92"/>
      <c r="F2259" s="92"/>
      <c r="G2259" s="92"/>
      <c r="H2259" s="92"/>
      <c r="I2259" s="92"/>
      <c r="J2259" s="92"/>
      <c r="K2259" s="92"/>
      <c r="L2259" s="92"/>
      <c r="M2259" s="92"/>
      <c r="N2259" s="92"/>
      <c r="O2259" s="92"/>
      <c r="P2259" s="92"/>
    </row>
    <row r="2260" spans="1:16" s="154" customFormat="1" ht="12">
      <c r="A2260" s="92"/>
      <c r="B2260" s="92"/>
      <c r="C2260" s="92"/>
      <c r="D2260" s="92"/>
      <c r="E2260" s="92"/>
      <c r="F2260" s="92"/>
      <c r="G2260" s="92"/>
      <c r="H2260" s="92"/>
      <c r="I2260" s="92"/>
      <c r="J2260" s="92"/>
      <c r="K2260" s="92"/>
      <c r="L2260" s="92"/>
      <c r="M2260" s="92"/>
      <c r="N2260" s="92"/>
      <c r="O2260" s="92"/>
      <c r="P2260" s="92"/>
    </row>
    <row r="2261" spans="1:16" s="154" customFormat="1" ht="12">
      <c r="A2261" s="92"/>
      <c r="B2261" s="92"/>
      <c r="C2261" s="92"/>
      <c r="D2261" s="92"/>
      <c r="E2261" s="92"/>
      <c r="F2261" s="92"/>
      <c r="G2261" s="92"/>
      <c r="H2261" s="92"/>
      <c r="I2261" s="92"/>
      <c r="J2261" s="92"/>
      <c r="K2261" s="92"/>
      <c r="L2261" s="92"/>
      <c r="M2261" s="92"/>
      <c r="N2261" s="92"/>
      <c r="O2261" s="92"/>
      <c r="P2261" s="92"/>
    </row>
    <row r="2262" spans="1:16" s="154" customFormat="1" ht="12">
      <c r="A2262" s="92"/>
      <c r="B2262" s="92"/>
      <c r="C2262" s="92"/>
      <c r="D2262" s="92"/>
      <c r="E2262" s="92"/>
      <c r="F2262" s="92"/>
      <c r="G2262" s="92"/>
      <c r="H2262" s="92"/>
      <c r="I2262" s="92"/>
      <c r="J2262" s="92"/>
      <c r="K2262" s="92"/>
      <c r="L2262" s="92"/>
      <c r="M2262" s="92"/>
      <c r="N2262" s="92"/>
      <c r="O2262" s="92"/>
      <c r="P2262" s="92"/>
    </row>
    <row r="2263" spans="1:16" s="154" customFormat="1" ht="12">
      <c r="A2263" s="92"/>
      <c r="B2263" s="92"/>
      <c r="C2263" s="92"/>
      <c r="D2263" s="92"/>
      <c r="E2263" s="92"/>
      <c r="F2263" s="92"/>
      <c r="G2263" s="92"/>
      <c r="H2263" s="92"/>
      <c r="I2263" s="92"/>
      <c r="J2263" s="92"/>
      <c r="K2263" s="92"/>
      <c r="L2263" s="92"/>
      <c r="M2263" s="92"/>
      <c r="N2263" s="92"/>
      <c r="O2263" s="92"/>
      <c r="P2263" s="92"/>
    </row>
    <row r="2264" spans="1:16" s="154" customFormat="1" ht="12">
      <c r="A2264" s="92"/>
      <c r="B2264" s="92"/>
      <c r="C2264" s="92"/>
      <c r="D2264" s="92"/>
      <c r="E2264" s="92"/>
      <c r="F2264" s="92"/>
      <c r="G2264" s="92"/>
      <c r="H2264" s="92"/>
      <c r="I2264" s="92"/>
      <c r="J2264" s="92"/>
      <c r="K2264" s="92"/>
      <c r="L2264" s="92"/>
      <c r="M2264" s="92"/>
      <c r="N2264" s="92"/>
      <c r="O2264" s="92"/>
      <c r="P2264" s="92"/>
    </row>
    <row r="2265" spans="1:16" s="154" customFormat="1" ht="12">
      <c r="A2265" s="92"/>
      <c r="B2265" s="92"/>
      <c r="C2265" s="92"/>
      <c r="D2265" s="92"/>
      <c r="E2265" s="92"/>
      <c r="F2265" s="92"/>
      <c r="G2265" s="92"/>
      <c r="H2265" s="92"/>
      <c r="I2265" s="92"/>
      <c r="J2265" s="92"/>
      <c r="K2265" s="92"/>
      <c r="L2265" s="92"/>
      <c r="M2265" s="92"/>
      <c r="N2265" s="92"/>
      <c r="O2265" s="92"/>
      <c r="P2265" s="92"/>
    </row>
    <row r="2266" spans="1:16" s="154" customFormat="1" ht="12">
      <c r="A2266" s="92"/>
      <c r="B2266" s="92"/>
      <c r="C2266" s="92"/>
      <c r="D2266" s="92"/>
      <c r="E2266" s="92"/>
      <c r="F2266" s="92"/>
      <c r="G2266" s="92"/>
      <c r="H2266" s="92"/>
      <c r="I2266" s="92"/>
      <c r="J2266" s="92"/>
      <c r="K2266" s="92"/>
      <c r="L2266" s="92"/>
      <c r="M2266" s="92"/>
      <c r="N2266" s="92"/>
      <c r="O2266" s="92"/>
      <c r="P2266" s="92"/>
    </row>
    <row r="2267" spans="1:16" s="154" customFormat="1" ht="12">
      <c r="A2267" s="92"/>
      <c r="B2267" s="92"/>
      <c r="C2267" s="92"/>
      <c r="D2267" s="92"/>
      <c r="E2267" s="92"/>
      <c r="F2267" s="92"/>
      <c r="G2267" s="92"/>
      <c r="H2267" s="92"/>
      <c r="I2267" s="92"/>
      <c r="J2267" s="92"/>
      <c r="K2267" s="92"/>
      <c r="L2267" s="92"/>
      <c r="M2267" s="92"/>
      <c r="N2267" s="92"/>
      <c r="O2267" s="92"/>
      <c r="P2267" s="92"/>
    </row>
    <row r="2268" spans="1:16" s="154" customFormat="1" ht="12">
      <c r="A2268" s="92"/>
      <c r="B2268" s="92"/>
      <c r="C2268" s="92"/>
      <c r="D2268" s="92"/>
      <c r="E2268" s="92"/>
      <c r="F2268" s="92"/>
      <c r="G2268" s="92"/>
      <c r="H2268" s="92"/>
      <c r="I2268" s="92"/>
      <c r="J2268" s="92"/>
      <c r="K2268" s="92"/>
      <c r="L2268" s="92"/>
      <c r="M2268" s="92"/>
      <c r="N2268" s="92"/>
      <c r="O2268" s="92"/>
      <c r="P2268" s="92"/>
    </row>
    <row r="2269" spans="1:16" s="154" customFormat="1" ht="12">
      <c r="A2269" s="92"/>
      <c r="B2269" s="92"/>
      <c r="C2269" s="92"/>
      <c r="D2269" s="92"/>
      <c r="E2269" s="92"/>
      <c r="F2269" s="92"/>
      <c r="G2269" s="92"/>
      <c r="H2269" s="92"/>
      <c r="I2269" s="92"/>
      <c r="J2269" s="92"/>
      <c r="K2269" s="92"/>
      <c r="L2269" s="92"/>
      <c r="M2269" s="92"/>
      <c r="N2269" s="92"/>
      <c r="O2269" s="92"/>
      <c r="P2269" s="92"/>
    </row>
    <row r="2270" spans="1:16" s="154" customFormat="1" ht="12">
      <c r="A2270" s="92"/>
      <c r="B2270" s="92"/>
      <c r="C2270" s="92"/>
      <c r="D2270" s="92"/>
      <c r="E2270" s="92"/>
      <c r="F2270" s="92"/>
      <c r="G2270" s="92"/>
      <c r="H2270" s="92"/>
      <c r="I2270" s="92"/>
      <c r="J2270" s="92"/>
      <c r="K2270" s="92"/>
      <c r="L2270" s="92"/>
      <c r="M2270" s="92"/>
      <c r="N2270" s="92"/>
      <c r="O2270" s="92"/>
      <c r="P2270" s="92"/>
    </row>
    <row r="2271" spans="1:16" s="154" customFormat="1" ht="12">
      <c r="A2271" s="92"/>
      <c r="B2271" s="92"/>
      <c r="C2271" s="92"/>
      <c r="D2271" s="92"/>
      <c r="E2271" s="92"/>
      <c r="F2271" s="92"/>
      <c r="G2271" s="92"/>
      <c r="H2271" s="92"/>
      <c r="I2271" s="92"/>
      <c r="J2271" s="92"/>
      <c r="K2271" s="92"/>
      <c r="L2271" s="92"/>
      <c r="M2271" s="92"/>
      <c r="N2271" s="92"/>
      <c r="O2271" s="92"/>
      <c r="P2271" s="92"/>
    </row>
    <row r="2272" spans="1:16" s="154" customFormat="1" ht="12">
      <c r="A2272" s="92"/>
      <c r="B2272" s="92"/>
      <c r="C2272" s="92"/>
      <c r="D2272" s="92"/>
      <c r="E2272" s="92"/>
      <c r="F2272" s="92"/>
      <c r="G2272" s="92"/>
      <c r="H2272" s="92"/>
      <c r="I2272" s="92"/>
      <c r="J2272" s="92"/>
      <c r="K2272" s="92"/>
      <c r="L2272" s="92"/>
      <c r="M2272" s="92"/>
      <c r="N2272" s="92"/>
      <c r="O2272" s="92"/>
      <c r="P2272" s="92"/>
    </row>
    <row r="2273" spans="1:16" s="154" customFormat="1" ht="12">
      <c r="A2273" s="92"/>
      <c r="B2273" s="92"/>
      <c r="C2273" s="92"/>
      <c r="D2273" s="92"/>
      <c r="E2273" s="92"/>
      <c r="F2273" s="92"/>
      <c r="G2273" s="92"/>
      <c r="H2273" s="92"/>
      <c r="I2273" s="92"/>
      <c r="J2273" s="92"/>
      <c r="K2273" s="92"/>
      <c r="L2273" s="92"/>
      <c r="M2273" s="92"/>
      <c r="N2273" s="92"/>
      <c r="O2273" s="92"/>
      <c r="P2273" s="92"/>
    </row>
    <row r="2274" spans="1:16" s="154" customFormat="1" ht="12">
      <c r="A2274" s="92"/>
      <c r="B2274" s="92"/>
      <c r="C2274" s="92"/>
      <c r="D2274" s="92"/>
      <c r="E2274" s="92"/>
      <c r="F2274" s="92"/>
      <c r="G2274" s="92"/>
      <c r="H2274" s="92"/>
      <c r="I2274" s="92"/>
      <c r="J2274" s="92"/>
      <c r="K2274" s="92"/>
      <c r="L2274" s="92"/>
      <c r="M2274" s="92"/>
      <c r="N2274" s="92"/>
      <c r="O2274" s="92"/>
      <c r="P2274" s="92"/>
    </row>
    <row r="2275" spans="1:16" s="154" customFormat="1" ht="12">
      <c r="A2275" s="92"/>
      <c r="B2275" s="92"/>
      <c r="C2275" s="92"/>
      <c r="D2275" s="92"/>
      <c r="E2275" s="92"/>
      <c r="F2275" s="92"/>
      <c r="G2275" s="92"/>
      <c r="H2275" s="92"/>
      <c r="I2275" s="92"/>
      <c r="J2275" s="92"/>
      <c r="K2275" s="92"/>
      <c r="L2275" s="92"/>
      <c r="M2275" s="92"/>
      <c r="N2275" s="92"/>
      <c r="O2275" s="92"/>
      <c r="P2275" s="92"/>
    </row>
    <row r="2276" spans="1:16" s="154" customFormat="1" ht="12">
      <c r="A2276" s="92"/>
      <c r="B2276" s="92"/>
      <c r="C2276" s="92"/>
      <c r="D2276" s="92"/>
      <c r="E2276" s="92"/>
      <c r="F2276" s="92"/>
      <c r="G2276" s="92"/>
      <c r="H2276" s="92"/>
      <c r="I2276" s="92"/>
      <c r="J2276" s="92"/>
      <c r="K2276" s="92"/>
      <c r="L2276" s="92"/>
      <c r="M2276" s="92"/>
      <c r="N2276" s="92"/>
      <c r="O2276" s="92"/>
      <c r="P2276" s="92"/>
    </row>
    <row r="2277" spans="1:16" s="154" customFormat="1" ht="12">
      <c r="A2277" s="92"/>
      <c r="B2277" s="92"/>
      <c r="C2277" s="92"/>
      <c r="D2277" s="92"/>
      <c r="E2277" s="92"/>
      <c r="F2277" s="92"/>
      <c r="G2277" s="92"/>
      <c r="H2277" s="92"/>
      <c r="I2277" s="92"/>
      <c r="J2277" s="92"/>
      <c r="K2277" s="92"/>
      <c r="L2277" s="92"/>
      <c r="M2277" s="92"/>
      <c r="N2277" s="92"/>
      <c r="O2277" s="92"/>
      <c r="P2277" s="92"/>
    </row>
    <row r="2278" spans="1:16" s="154" customFormat="1" ht="12">
      <c r="A2278" s="92"/>
      <c r="B2278" s="92"/>
      <c r="C2278" s="92"/>
      <c r="D2278" s="92"/>
      <c r="E2278" s="92"/>
      <c r="F2278" s="92"/>
      <c r="G2278" s="92"/>
      <c r="H2278" s="92"/>
      <c r="I2278" s="92"/>
      <c r="J2278" s="92"/>
      <c r="K2278" s="92"/>
      <c r="L2278" s="92"/>
      <c r="M2278" s="92"/>
      <c r="N2278" s="92"/>
      <c r="O2278" s="92"/>
      <c r="P2278" s="92"/>
    </row>
    <row r="2279" spans="1:16" s="154" customFormat="1" ht="12">
      <c r="A2279" s="92"/>
      <c r="B2279" s="92"/>
      <c r="C2279" s="92"/>
      <c r="D2279" s="92"/>
      <c r="E2279" s="92"/>
      <c r="F2279" s="92"/>
      <c r="G2279" s="92"/>
      <c r="H2279" s="92"/>
      <c r="I2279" s="92"/>
      <c r="J2279" s="92"/>
      <c r="K2279" s="92"/>
      <c r="L2279" s="92"/>
      <c r="M2279" s="92"/>
      <c r="N2279" s="92"/>
      <c r="O2279" s="92"/>
      <c r="P2279" s="92"/>
    </row>
    <row r="2280" spans="1:16" s="154" customFormat="1" ht="12">
      <c r="A2280" s="92"/>
      <c r="B2280" s="92"/>
      <c r="C2280" s="92"/>
      <c r="D2280" s="92"/>
      <c r="E2280" s="92"/>
      <c r="F2280" s="92"/>
      <c r="G2280" s="92"/>
      <c r="H2280" s="92"/>
      <c r="I2280" s="92"/>
      <c r="J2280" s="92"/>
      <c r="K2280" s="92"/>
      <c r="L2280" s="92"/>
      <c r="M2280" s="92"/>
      <c r="N2280" s="92"/>
      <c r="O2280" s="92"/>
      <c r="P2280" s="92"/>
    </row>
    <row r="2281" spans="1:16" s="154" customFormat="1" ht="12">
      <c r="A2281" s="92"/>
      <c r="B2281" s="92"/>
      <c r="C2281" s="92"/>
      <c r="D2281" s="92"/>
      <c r="E2281" s="92"/>
      <c r="F2281" s="92"/>
      <c r="G2281" s="92"/>
      <c r="H2281" s="92"/>
      <c r="I2281" s="92"/>
      <c r="J2281" s="92"/>
      <c r="K2281" s="92"/>
      <c r="L2281" s="92"/>
      <c r="M2281" s="92"/>
      <c r="N2281" s="92"/>
      <c r="O2281" s="92"/>
      <c r="P2281" s="92"/>
    </row>
    <row r="2282" spans="1:16" s="154" customFormat="1" ht="12">
      <c r="A2282" s="92"/>
      <c r="B2282" s="92"/>
      <c r="C2282" s="92"/>
      <c r="D2282" s="92"/>
      <c r="E2282" s="92"/>
      <c r="F2282" s="92"/>
      <c r="G2282" s="92"/>
      <c r="H2282" s="92"/>
      <c r="I2282" s="92"/>
      <c r="J2282" s="92"/>
      <c r="K2282" s="92"/>
      <c r="L2282" s="92"/>
      <c r="M2282" s="92"/>
      <c r="N2282" s="92"/>
      <c r="O2282" s="92"/>
      <c r="P2282" s="92"/>
    </row>
    <row r="2283" spans="1:16" s="154" customFormat="1" ht="12">
      <c r="A2283" s="92"/>
      <c r="B2283" s="92"/>
      <c r="C2283" s="92"/>
      <c r="D2283" s="92"/>
      <c r="E2283" s="92"/>
      <c r="F2283" s="92"/>
      <c r="G2283" s="92"/>
      <c r="H2283" s="92"/>
      <c r="I2283" s="92"/>
      <c r="J2283" s="92"/>
      <c r="K2283" s="92"/>
      <c r="L2283" s="92"/>
      <c r="M2283" s="92"/>
      <c r="N2283" s="92"/>
      <c r="O2283" s="92"/>
      <c r="P2283" s="92"/>
    </row>
    <row r="2284" spans="1:16" s="154" customFormat="1" ht="12">
      <c r="A2284" s="92"/>
      <c r="B2284" s="92"/>
      <c r="C2284" s="92"/>
      <c r="D2284" s="92"/>
      <c r="E2284" s="92"/>
      <c r="F2284" s="92"/>
      <c r="G2284" s="92"/>
      <c r="H2284" s="92"/>
      <c r="I2284" s="92"/>
      <c r="J2284" s="92"/>
      <c r="K2284" s="92"/>
      <c r="L2284" s="92"/>
      <c r="M2284" s="92"/>
      <c r="N2284" s="92"/>
      <c r="O2284" s="92"/>
      <c r="P2284" s="92"/>
    </row>
    <row r="2285" spans="1:16" s="154" customFormat="1" ht="12">
      <c r="A2285" s="92"/>
      <c r="B2285" s="92"/>
      <c r="C2285" s="92"/>
      <c r="D2285" s="92"/>
      <c r="E2285" s="92"/>
      <c r="F2285" s="92"/>
      <c r="G2285" s="92"/>
      <c r="H2285" s="92"/>
      <c r="I2285" s="92"/>
      <c r="J2285" s="92"/>
      <c r="K2285" s="92"/>
      <c r="L2285" s="92"/>
      <c r="M2285" s="92"/>
      <c r="N2285" s="92"/>
      <c r="O2285" s="92"/>
      <c r="P2285" s="92"/>
    </row>
    <row r="2286" spans="1:16" s="154" customFormat="1" ht="12">
      <c r="A2286" s="92"/>
      <c r="B2286" s="92"/>
      <c r="C2286" s="92"/>
      <c r="D2286" s="92"/>
      <c r="E2286" s="92"/>
      <c r="F2286" s="92"/>
      <c r="G2286" s="92"/>
      <c r="H2286" s="92"/>
      <c r="I2286" s="92"/>
      <c r="J2286" s="92"/>
      <c r="K2286" s="92"/>
      <c r="L2286" s="92"/>
      <c r="M2286" s="92"/>
      <c r="N2286" s="92"/>
      <c r="O2286" s="92"/>
      <c r="P2286" s="92"/>
    </row>
    <row r="2287" spans="1:16" s="154" customFormat="1" ht="12">
      <c r="A2287" s="92"/>
      <c r="B2287" s="92"/>
      <c r="C2287" s="92"/>
      <c r="D2287" s="92"/>
      <c r="E2287" s="92"/>
      <c r="F2287" s="92"/>
      <c r="G2287" s="92"/>
      <c r="H2287" s="92"/>
      <c r="I2287" s="92"/>
      <c r="J2287" s="92"/>
      <c r="K2287" s="92"/>
      <c r="L2287" s="92"/>
      <c r="M2287" s="92"/>
      <c r="N2287" s="92"/>
      <c r="O2287" s="92"/>
      <c r="P2287" s="92"/>
    </row>
    <row r="2288" spans="1:16" s="154" customFormat="1" ht="12">
      <c r="A2288" s="92"/>
      <c r="B2288" s="92"/>
      <c r="C2288" s="92"/>
      <c r="D2288" s="92"/>
      <c r="E2288" s="92"/>
      <c r="F2288" s="92"/>
      <c r="G2288" s="92"/>
      <c r="H2288" s="92"/>
      <c r="I2288" s="92"/>
      <c r="J2288" s="92"/>
      <c r="K2288" s="92"/>
      <c r="L2288" s="92"/>
      <c r="M2288" s="92"/>
      <c r="N2288" s="92"/>
      <c r="O2288" s="92"/>
      <c r="P2288" s="92"/>
    </row>
    <row r="2289" spans="1:16" s="154" customFormat="1" ht="12">
      <c r="A2289" s="92"/>
      <c r="B2289" s="92"/>
      <c r="C2289" s="92"/>
      <c r="D2289" s="92"/>
      <c r="E2289" s="92"/>
      <c r="F2289" s="92"/>
      <c r="G2289" s="92"/>
      <c r="H2289" s="92"/>
      <c r="I2289" s="92"/>
      <c r="J2289" s="92"/>
      <c r="K2289" s="92"/>
      <c r="L2289" s="92"/>
      <c r="M2289" s="92"/>
      <c r="N2289" s="92"/>
      <c r="O2289" s="92"/>
      <c r="P2289" s="92"/>
    </row>
    <row r="2290" spans="1:16" s="154" customFormat="1" ht="12">
      <c r="A2290" s="92"/>
      <c r="B2290" s="92"/>
      <c r="C2290" s="92"/>
      <c r="D2290" s="92"/>
      <c r="E2290" s="92"/>
      <c r="F2290" s="92"/>
      <c r="G2290" s="92"/>
      <c r="H2290" s="92"/>
      <c r="I2290" s="92"/>
      <c r="J2290" s="92"/>
      <c r="K2290" s="92"/>
      <c r="L2290" s="92"/>
      <c r="M2290" s="92"/>
      <c r="N2290" s="92"/>
      <c r="O2290" s="92"/>
      <c r="P2290" s="92"/>
    </row>
    <row r="2291" spans="1:16" s="154" customFormat="1" ht="12">
      <c r="A2291" s="92"/>
      <c r="B2291" s="92"/>
      <c r="C2291" s="92"/>
      <c r="D2291" s="92"/>
      <c r="E2291" s="92"/>
      <c r="F2291" s="92"/>
      <c r="G2291" s="92"/>
      <c r="H2291" s="92"/>
      <c r="I2291" s="92"/>
      <c r="J2291" s="92"/>
      <c r="K2291" s="92"/>
      <c r="L2291" s="92"/>
      <c r="M2291" s="92"/>
      <c r="N2291" s="92"/>
      <c r="O2291" s="92"/>
      <c r="P2291" s="92"/>
    </row>
    <row r="2292" spans="1:16" s="154" customFormat="1" ht="12">
      <c r="A2292" s="92"/>
      <c r="B2292" s="92"/>
      <c r="C2292" s="92"/>
      <c r="D2292" s="92"/>
      <c r="E2292" s="92"/>
      <c r="F2292" s="92"/>
      <c r="G2292" s="92"/>
      <c r="H2292" s="92"/>
      <c r="I2292" s="92"/>
      <c r="J2292" s="92"/>
      <c r="K2292" s="92"/>
      <c r="L2292" s="92"/>
      <c r="M2292" s="92"/>
      <c r="N2292" s="92"/>
      <c r="O2292" s="92"/>
      <c r="P2292" s="92"/>
    </row>
    <row r="2293" spans="1:16" s="154" customFormat="1" ht="12">
      <c r="A2293" s="92"/>
      <c r="B2293" s="92"/>
      <c r="C2293" s="92"/>
      <c r="D2293" s="92"/>
      <c r="E2293" s="92"/>
      <c r="F2293" s="92"/>
      <c r="G2293" s="92"/>
      <c r="H2293" s="92"/>
      <c r="I2293" s="92"/>
      <c r="J2293" s="92"/>
      <c r="K2293" s="92"/>
      <c r="L2293" s="92"/>
      <c r="M2293" s="92"/>
      <c r="N2293" s="92"/>
      <c r="O2293" s="92"/>
      <c r="P2293" s="92"/>
    </row>
    <row r="2294" spans="1:16" s="154" customFormat="1" ht="12">
      <c r="A2294" s="92"/>
      <c r="B2294" s="92"/>
      <c r="C2294" s="92"/>
      <c r="D2294" s="92"/>
      <c r="E2294" s="92"/>
      <c r="F2294" s="92"/>
      <c r="G2294" s="92"/>
      <c r="H2294" s="92"/>
      <c r="I2294" s="92"/>
      <c r="J2294" s="92"/>
      <c r="K2294" s="92"/>
      <c r="L2294" s="92"/>
      <c r="M2294" s="92"/>
      <c r="N2294" s="92"/>
      <c r="O2294" s="92"/>
      <c r="P2294" s="92"/>
    </row>
    <row r="2295" spans="1:16" s="154" customFormat="1" ht="12">
      <c r="A2295" s="92"/>
      <c r="B2295" s="92"/>
      <c r="C2295" s="92"/>
      <c r="D2295" s="92"/>
      <c r="E2295" s="92"/>
      <c r="F2295" s="92"/>
      <c r="G2295" s="92"/>
      <c r="H2295" s="92"/>
      <c r="I2295" s="92"/>
      <c r="J2295" s="92"/>
      <c r="K2295" s="92"/>
      <c r="L2295" s="92"/>
      <c r="M2295" s="92"/>
      <c r="N2295" s="92"/>
      <c r="O2295" s="92"/>
      <c r="P2295" s="92"/>
    </row>
    <row r="2296" spans="1:16" s="154" customFormat="1" ht="12">
      <c r="A2296" s="92"/>
      <c r="B2296" s="92"/>
      <c r="C2296" s="92"/>
      <c r="D2296" s="92"/>
      <c r="E2296" s="92"/>
      <c r="F2296" s="92"/>
      <c r="G2296" s="92"/>
      <c r="H2296" s="92"/>
      <c r="I2296" s="92"/>
      <c r="J2296" s="92"/>
      <c r="K2296" s="92"/>
      <c r="L2296" s="92"/>
      <c r="M2296" s="92"/>
      <c r="N2296" s="92"/>
      <c r="O2296" s="92"/>
      <c r="P2296" s="92"/>
    </row>
    <row r="2297" spans="1:16" s="154" customFormat="1" ht="12">
      <c r="A2297" s="92"/>
      <c r="B2297" s="92"/>
      <c r="C2297" s="92"/>
      <c r="D2297" s="92"/>
      <c r="E2297" s="92"/>
      <c r="F2297" s="92"/>
      <c r="G2297" s="92"/>
      <c r="H2297" s="92"/>
      <c r="I2297" s="92"/>
      <c r="J2297" s="92"/>
      <c r="K2297" s="92"/>
      <c r="L2297" s="92"/>
      <c r="M2297" s="92"/>
      <c r="N2297" s="92"/>
      <c r="O2297" s="92"/>
      <c r="P2297" s="92"/>
    </row>
    <row r="2298" spans="1:16" s="154" customFormat="1" ht="12">
      <c r="A2298" s="92"/>
      <c r="B2298" s="92"/>
      <c r="C2298" s="92"/>
      <c r="D2298" s="92"/>
      <c r="E2298" s="92"/>
      <c r="F2298" s="92"/>
      <c r="G2298" s="92"/>
      <c r="H2298" s="92"/>
      <c r="I2298" s="92"/>
      <c r="J2298" s="92"/>
      <c r="K2298" s="92"/>
      <c r="L2298" s="92"/>
      <c r="M2298" s="92"/>
      <c r="N2298" s="92"/>
      <c r="O2298" s="92"/>
      <c r="P2298" s="92"/>
    </row>
    <row r="2299" spans="1:16" s="154" customFormat="1" ht="12">
      <c r="A2299" s="92"/>
      <c r="B2299" s="92"/>
      <c r="C2299" s="92"/>
      <c r="D2299" s="92"/>
      <c r="E2299" s="92"/>
      <c r="F2299" s="92"/>
      <c r="G2299" s="92"/>
      <c r="H2299" s="92"/>
      <c r="I2299" s="92"/>
      <c r="J2299" s="92"/>
      <c r="K2299" s="92"/>
      <c r="L2299" s="92"/>
      <c r="M2299" s="92"/>
      <c r="N2299" s="92"/>
      <c r="O2299" s="92"/>
      <c r="P2299" s="92"/>
    </row>
    <row r="2300" spans="1:16" s="154" customFormat="1" ht="12">
      <c r="A2300" s="92"/>
      <c r="B2300" s="92"/>
      <c r="C2300" s="92"/>
      <c r="D2300" s="92"/>
      <c r="E2300" s="92"/>
      <c r="F2300" s="92"/>
      <c r="G2300" s="92"/>
      <c r="H2300" s="92"/>
      <c r="I2300" s="92"/>
      <c r="J2300" s="92"/>
      <c r="K2300" s="92"/>
      <c r="L2300" s="92"/>
      <c r="M2300" s="92"/>
      <c r="N2300" s="92"/>
      <c r="O2300" s="92"/>
      <c r="P2300" s="92"/>
    </row>
    <row r="2301" spans="1:16" s="154" customFormat="1" ht="12">
      <c r="A2301" s="92"/>
      <c r="B2301" s="92"/>
      <c r="C2301" s="92"/>
      <c r="D2301" s="92"/>
      <c r="E2301" s="92"/>
      <c r="F2301" s="92"/>
      <c r="G2301" s="92"/>
      <c r="H2301" s="92"/>
      <c r="I2301" s="92"/>
      <c r="J2301" s="92"/>
      <c r="K2301" s="92"/>
      <c r="L2301" s="92"/>
      <c r="M2301" s="92"/>
      <c r="N2301" s="92"/>
      <c r="O2301" s="92"/>
      <c r="P2301" s="92"/>
    </row>
    <row r="2302" spans="1:16" s="154" customFormat="1" ht="12">
      <c r="A2302" s="92"/>
      <c r="B2302" s="92"/>
      <c r="C2302" s="92"/>
      <c r="D2302" s="92"/>
      <c r="E2302" s="92"/>
      <c r="F2302" s="92"/>
      <c r="G2302" s="92"/>
      <c r="H2302" s="92"/>
      <c r="I2302" s="92"/>
      <c r="J2302" s="92"/>
      <c r="K2302" s="92"/>
      <c r="L2302" s="92"/>
      <c r="M2302" s="92"/>
      <c r="N2302" s="92"/>
      <c r="O2302" s="92"/>
      <c r="P2302" s="92"/>
    </row>
    <row r="2303" spans="1:16" s="154" customFormat="1" ht="12">
      <c r="A2303" s="92"/>
      <c r="B2303" s="92"/>
      <c r="C2303" s="92"/>
      <c r="D2303" s="92"/>
      <c r="E2303" s="92"/>
      <c r="F2303" s="92"/>
      <c r="G2303" s="92"/>
      <c r="H2303" s="92"/>
      <c r="I2303" s="92"/>
      <c r="J2303" s="92"/>
      <c r="K2303" s="92"/>
      <c r="L2303" s="92"/>
      <c r="M2303" s="92"/>
      <c r="N2303" s="92"/>
      <c r="O2303" s="92"/>
      <c r="P2303" s="92"/>
    </row>
    <row r="2304" spans="1:16" s="154" customFormat="1" ht="12">
      <c r="A2304" s="92"/>
      <c r="B2304" s="92"/>
      <c r="C2304" s="92"/>
      <c r="D2304" s="92"/>
      <c r="E2304" s="92"/>
      <c r="F2304" s="92"/>
      <c r="G2304" s="92"/>
      <c r="H2304" s="92"/>
      <c r="I2304" s="92"/>
      <c r="J2304" s="92"/>
      <c r="K2304" s="92"/>
      <c r="L2304" s="92"/>
      <c r="M2304" s="92"/>
      <c r="N2304" s="92"/>
      <c r="O2304" s="92"/>
      <c r="P2304" s="92"/>
    </row>
    <row r="2305" spans="1:16" s="154" customFormat="1" ht="12">
      <c r="A2305" s="92"/>
      <c r="B2305" s="92"/>
      <c r="C2305" s="92"/>
      <c r="D2305" s="92"/>
      <c r="E2305" s="92"/>
      <c r="F2305" s="92"/>
      <c r="G2305" s="92"/>
      <c r="H2305" s="92"/>
      <c r="I2305" s="92"/>
      <c r="J2305" s="92"/>
      <c r="K2305" s="92"/>
      <c r="L2305" s="92"/>
      <c r="M2305" s="92"/>
      <c r="N2305" s="92"/>
      <c r="O2305" s="92"/>
      <c r="P2305" s="92"/>
    </row>
    <row r="2306" spans="1:16" s="154" customFormat="1" ht="12">
      <c r="A2306" s="92"/>
      <c r="B2306" s="92"/>
      <c r="C2306" s="92"/>
      <c r="D2306" s="92"/>
      <c r="E2306" s="92"/>
      <c r="F2306" s="92"/>
      <c r="G2306" s="92"/>
      <c r="H2306" s="92"/>
      <c r="I2306" s="92"/>
      <c r="J2306" s="92"/>
      <c r="K2306" s="92"/>
      <c r="L2306" s="92"/>
      <c r="M2306" s="92"/>
      <c r="N2306" s="92"/>
      <c r="O2306" s="92"/>
      <c r="P2306" s="92"/>
    </row>
    <row r="2307" spans="1:16" s="154" customFormat="1" ht="12">
      <c r="A2307" s="92"/>
      <c r="B2307" s="92"/>
      <c r="C2307" s="92"/>
      <c r="D2307" s="92"/>
      <c r="E2307" s="92"/>
      <c r="F2307" s="92"/>
      <c r="G2307" s="92"/>
      <c r="H2307" s="92"/>
      <c r="I2307" s="92"/>
      <c r="J2307" s="92"/>
      <c r="K2307" s="92"/>
      <c r="L2307" s="92"/>
      <c r="M2307" s="92"/>
      <c r="N2307" s="92"/>
      <c r="O2307" s="92"/>
      <c r="P2307" s="92"/>
    </row>
    <row r="2308" spans="1:16" s="154" customFormat="1" ht="12">
      <c r="A2308" s="92"/>
      <c r="B2308" s="92"/>
      <c r="C2308" s="92"/>
      <c r="D2308" s="92"/>
      <c r="E2308" s="92"/>
      <c r="F2308" s="92"/>
      <c r="G2308" s="92"/>
      <c r="H2308" s="92"/>
      <c r="I2308" s="92"/>
      <c r="J2308" s="92"/>
      <c r="K2308" s="92"/>
      <c r="L2308" s="92"/>
      <c r="M2308" s="92"/>
      <c r="N2308" s="92"/>
      <c r="O2308" s="92"/>
      <c r="P2308" s="92"/>
    </row>
    <row r="2309" spans="1:16" s="154" customFormat="1" ht="12">
      <c r="A2309" s="92"/>
      <c r="B2309" s="92"/>
      <c r="C2309" s="92"/>
      <c r="D2309" s="92"/>
      <c r="E2309" s="92"/>
      <c r="F2309" s="92"/>
      <c r="G2309" s="92"/>
      <c r="H2309" s="92"/>
      <c r="I2309" s="92"/>
      <c r="J2309" s="92"/>
      <c r="K2309" s="92"/>
      <c r="L2309" s="92"/>
      <c r="M2309" s="92"/>
      <c r="N2309" s="92"/>
      <c r="O2309" s="92"/>
      <c r="P2309" s="92"/>
    </row>
    <row r="2310" spans="1:16" s="154" customFormat="1" ht="12">
      <c r="A2310" s="92"/>
      <c r="B2310" s="92"/>
      <c r="C2310" s="92"/>
      <c r="D2310" s="92"/>
      <c r="E2310" s="92"/>
      <c r="F2310" s="92"/>
      <c r="G2310" s="92"/>
      <c r="H2310" s="92"/>
      <c r="I2310" s="92"/>
      <c r="J2310" s="92"/>
      <c r="K2310" s="92"/>
      <c r="L2310" s="92"/>
      <c r="M2310" s="92"/>
      <c r="N2310" s="92"/>
      <c r="O2310" s="92"/>
      <c r="P2310" s="92"/>
    </row>
    <row r="2311" spans="1:16" s="154" customFormat="1" ht="12">
      <c r="A2311" s="92"/>
      <c r="B2311" s="92"/>
      <c r="C2311" s="92"/>
      <c r="D2311" s="92"/>
      <c r="E2311" s="92"/>
      <c r="F2311" s="92"/>
      <c r="G2311" s="92"/>
      <c r="H2311" s="92"/>
      <c r="I2311" s="92"/>
      <c r="J2311" s="92"/>
      <c r="K2311" s="92"/>
      <c r="L2311" s="92"/>
      <c r="M2311" s="92"/>
      <c r="N2311" s="92"/>
      <c r="O2311" s="92"/>
      <c r="P2311" s="92"/>
    </row>
    <row r="2312" spans="1:16" s="154" customFormat="1" ht="12">
      <c r="A2312" s="92"/>
      <c r="B2312" s="92"/>
      <c r="C2312" s="92"/>
      <c r="D2312" s="92"/>
      <c r="E2312" s="92"/>
      <c r="F2312" s="92"/>
      <c r="G2312" s="92"/>
      <c r="H2312" s="92"/>
      <c r="I2312" s="92"/>
      <c r="J2312" s="92"/>
      <c r="K2312" s="92"/>
      <c r="L2312" s="92"/>
      <c r="M2312" s="92"/>
      <c r="N2312" s="92"/>
      <c r="O2312" s="92"/>
      <c r="P2312" s="92"/>
    </row>
    <row r="2313" spans="1:16" s="154" customFormat="1" ht="12">
      <c r="A2313" s="92"/>
      <c r="B2313" s="92"/>
      <c r="C2313" s="92"/>
      <c r="D2313" s="92"/>
      <c r="E2313" s="92"/>
      <c r="F2313" s="92"/>
      <c r="G2313" s="92"/>
      <c r="H2313" s="92"/>
      <c r="I2313" s="92"/>
      <c r="J2313" s="92"/>
      <c r="K2313" s="92"/>
      <c r="L2313" s="92"/>
      <c r="M2313" s="92"/>
      <c r="N2313" s="92"/>
      <c r="O2313" s="92"/>
      <c r="P2313" s="92"/>
    </row>
    <row r="2314" spans="1:16" s="154" customFormat="1" ht="12">
      <c r="A2314" s="92"/>
      <c r="B2314" s="92"/>
      <c r="C2314" s="92"/>
      <c r="D2314" s="92"/>
      <c r="E2314" s="92"/>
      <c r="F2314" s="92"/>
      <c r="G2314" s="92"/>
      <c r="H2314" s="92"/>
      <c r="I2314" s="92"/>
      <c r="J2314" s="92"/>
      <c r="K2314" s="92"/>
      <c r="L2314" s="92"/>
      <c r="M2314" s="92"/>
      <c r="N2314" s="92"/>
      <c r="O2314" s="92"/>
      <c r="P2314" s="92"/>
    </row>
    <row r="2315" spans="1:16" s="154" customFormat="1" ht="12">
      <c r="A2315" s="92"/>
      <c r="B2315" s="92"/>
      <c r="C2315" s="92"/>
      <c r="D2315" s="92"/>
      <c r="E2315" s="92"/>
      <c r="F2315" s="92"/>
      <c r="G2315" s="92"/>
      <c r="H2315" s="92"/>
      <c r="I2315" s="92"/>
      <c r="J2315" s="92"/>
      <c r="K2315" s="92"/>
      <c r="L2315" s="92"/>
      <c r="M2315" s="92"/>
      <c r="N2315" s="92"/>
      <c r="O2315" s="92"/>
      <c r="P2315" s="92"/>
    </row>
    <row r="2316" spans="1:16" s="154" customFormat="1" ht="12">
      <c r="A2316" s="92"/>
      <c r="B2316" s="92"/>
      <c r="C2316" s="92"/>
      <c r="D2316" s="92"/>
      <c r="E2316" s="92"/>
      <c r="F2316" s="92"/>
      <c r="G2316" s="92"/>
      <c r="H2316" s="92"/>
      <c r="I2316" s="92"/>
      <c r="J2316" s="92"/>
      <c r="K2316" s="92"/>
      <c r="L2316" s="92"/>
      <c r="M2316" s="92"/>
      <c r="N2316" s="92"/>
      <c r="O2316" s="92"/>
      <c r="P2316" s="92"/>
    </row>
    <row r="2317" spans="1:16" s="154" customFormat="1" ht="12">
      <c r="A2317" s="92"/>
      <c r="B2317" s="92"/>
      <c r="C2317" s="92"/>
      <c r="D2317" s="92"/>
      <c r="E2317" s="92"/>
      <c r="F2317" s="92"/>
      <c r="G2317" s="92"/>
      <c r="H2317" s="92"/>
      <c r="I2317" s="92"/>
      <c r="J2317" s="92"/>
      <c r="K2317" s="92"/>
      <c r="L2317" s="92"/>
      <c r="M2317" s="92"/>
      <c r="N2317" s="92"/>
      <c r="O2317" s="92"/>
      <c r="P2317" s="92"/>
    </row>
    <row r="2318" spans="1:16" s="154" customFormat="1" ht="12">
      <c r="A2318" s="92"/>
      <c r="B2318" s="92"/>
      <c r="C2318" s="92"/>
      <c r="D2318" s="92"/>
      <c r="E2318" s="92"/>
      <c r="F2318" s="92"/>
      <c r="G2318" s="92"/>
      <c r="H2318" s="92"/>
      <c r="I2318" s="92"/>
      <c r="J2318" s="92"/>
      <c r="K2318" s="92"/>
      <c r="L2318" s="92"/>
      <c r="M2318" s="92"/>
      <c r="N2318" s="92"/>
      <c r="O2318" s="92"/>
      <c r="P2318" s="92"/>
    </row>
    <row r="2319" spans="1:16" s="154" customFormat="1" ht="12">
      <c r="A2319" s="92"/>
      <c r="B2319" s="92"/>
      <c r="C2319" s="92"/>
      <c r="D2319" s="92"/>
      <c r="E2319" s="92"/>
      <c r="F2319" s="92"/>
      <c r="G2319" s="92"/>
      <c r="H2319" s="92"/>
      <c r="I2319" s="92"/>
      <c r="J2319" s="92"/>
      <c r="K2319" s="92"/>
      <c r="L2319" s="92"/>
      <c r="M2319" s="92"/>
      <c r="N2319" s="92"/>
      <c r="O2319" s="92"/>
      <c r="P2319" s="92"/>
    </row>
    <row r="2320" spans="1:16" s="154" customFormat="1" ht="12">
      <c r="A2320" s="92"/>
      <c r="B2320" s="92"/>
      <c r="C2320" s="92"/>
      <c r="D2320" s="92"/>
      <c r="E2320" s="92"/>
      <c r="F2320" s="92"/>
      <c r="G2320" s="92"/>
      <c r="H2320" s="92"/>
      <c r="I2320" s="92"/>
      <c r="J2320" s="92"/>
      <c r="K2320" s="92"/>
      <c r="L2320" s="92"/>
      <c r="M2320" s="92"/>
      <c r="N2320" s="92"/>
      <c r="O2320" s="92"/>
      <c r="P2320" s="92"/>
    </row>
    <row r="2321" spans="1:16" s="154" customFormat="1" ht="12">
      <c r="A2321" s="92"/>
      <c r="B2321" s="92"/>
      <c r="C2321" s="92"/>
      <c r="D2321" s="92"/>
      <c r="E2321" s="92"/>
      <c r="F2321" s="92"/>
      <c r="G2321" s="92"/>
      <c r="H2321" s="92"/>
      <c r="I2321" s="92"/>
      <c r="J2321" s="92"/>
      <c r="K2321" s="92"/>
      <c r="L2321" s="92"/>
      <c r="M2321" s="92"/>
      <c r="N2321" s="92"/>
      <c r="O2321" s="92"/>
      <c r="P2321" s="92"/>
    </row>
    <row r="2322" spans="1:16" s="154" customFormat="1" ht="12">
      <c r="A2322" s="92"/>
      <c r="B2322" s="92"/>
      <c r="C2322" s="92"/>
      <c r="D2322" s="92"/>
      <c r="E2322" s="92"/>
      <c r="F2322" s="92"/>
      <c r="G2322" s="92"/>
      <c r="H2322" s="92"/>
      <c r="I2322" s="92"/>
      <c r="J2322" s="92"/>
      <c r="K2322" s="92"/>
      <c r="L2322" s="92"/>
      <c r="M2322" s="92"/>
      <c r="N2322" s="92"/>
      <c r="O2322" s="92"/>
      <c r="P2322" s="92"/>
    </row>
    <row r="2323" spans="1:16" s="154" customFormat="1" ht="12">
      <c r="A2323" s="92"/>
      <c r="B2323" s="92"/>
      <c r="C2323" s="92"/>
      <c r="D2323" s="92"/>
      <c r="E2323" s="92"/>
      <c r="F2323" s="92"/>
      <c r="G2323" s="92"/>
      <c r="H2323" s="92"/>
      <c r="I2323" s="92"/>
      <c r="J2323" s="92"/>
      <c r="K2323" s="92"/>
      <c r="L2323" s="92"/>
      <c r="M2323" s="92"/>
      <c r="N2323" s="92"/>
      <c r="O2323" s="92"/>
      <c r="P2323" s="92"/>
    </row>
    <row r="2324" spans="1:16" s="154" customFormat="1" ht="12">
      <c r="A2324" s="92"/>
      <c r="B2324" s="92"/>
      <c r="C2324" s="92"/>
      <c r="D2324" s="92"/>
      <c r="E2324" s="92"/>
      <c r="F2324" s="92"/>
      <c r="G2324" s="92"/>
      <c r="H2324" s="92"/>
      <c r="I2324" s="92"/>
      <c r="J2324" s="92"/>
      <c r="K2324" s="92"/>
      <c r="L2324" s="92"/>
      <c r="M2324" s="92"/>
      <c r="N2324" s="92"/>
      <c r="O2324" s="92"/>
      <c r="P2324" s="92"/>
    </row>
    <row r="2325" spans="1:16" s="154" customFormat="1" ht="12">
      <c r="A2325" s="92"/>
      <c r="B2325" s="92"/>
      <c r="C2325" s="92"/>
      <c r="D2325" s="92"/>
      <c r="E2325" s="92"/>
      <c r="F2325" s="92"/>
      <c r="G2325" s="92"/>
      <c r="H2325" s="92"/>
      <c r="I2325" s="92"/>
      <c r="J2325" s="92"/>
      <c r="K2325" s="92"/>
      <c r="L2325" s="92"/>
      <c r="M2325" s="92"/>
      <c r="N2325" s="92"/>
      <c r="O2325" s="92"/>
      <c r="P2325" s="92"/>
    </row>
    <row r="2326" spans="1:16" s="154" customFormat="1" ht="12">
      <c r="A2326" s="92"/>
      <c r="B2326" s="92"/>
      <c r="C2326" s="92"/>
      <c r="D2326" s="92"/>
      <c r="E2326" s="92"/>
      <c r="F2326" s="92"/>
      <c r="G2326" s="92"/>
      <c r="H2326" s="92"/>
      <c r="I2326" s="92"/>
      <c r="J2326" s="92"/>
      <c r="K2326" s="92"/>
      <c r="L2326" s="92"/>
      <c r="M2326" s="92"/>
      <c r="N2326" s="92"/>
      <c r="O2326" s="92"/>
      <c r="P2326" s="92"/>
    </row>
    <row r="2327" spans="1:16" s="154" customFormat="1" ht="12">
      <c r="A2327" s="92"/>
      <c r="B2327" s="92"/>
      <c r="C2327" s="92"/>
      <c r="D2327" s="92"/>
      <c r="E2327" s="92"/>
      <c r="F2327" s="92"/>
      <c r="G2327" s="92"/>
      <c r="H2327" s="92"/>
      <c r="I2327" s="92"/>
      <c r="J2327" s="92"/>
      <c r="K2327" s="92"/>
      <c r="L2327" s="92"/>
      <c r="M2327" s="92"/>
      <c r="N2327" s="92"/>
      <c r="O2327" s="92"/>
      <c r="P2327" s="92"/>
    </row>
    <row r="2328" spans="1:16" s="154" customFormat="1" ht="12">
      <c r="A2328" s="92"/>
      <c r="B2328" s="92"/>
      <c r="C2328" s="92"/>
      <c r="D2328" s="92"/>
      <c r="E2328" s="92"/>
      <c r="F2328" s="92"/>
      <c r="G2328" s="92"/>
      <c r="H2328" s="92"/>
      <c r="I2328" s="92"/>
      <c r="J2328" s="92"/>
      <c r="K2328" s="92"/>
      <c r="L2328" s="92"/>
      <c r="M2328" s="92"/>
      <c r="N2328" s="92"/>
      <c r="O2328" s="92"/>
      <c r="P2328" s="92"/>
    </row>
    <row r="2329" spans="1:16" s="154" customFormat="1" ht="12">
      <c r="A2329" s="92"/>
      <c r="B2329" s="92"/>
      <c r="C2329" s="92"/>
      <c r="D2329" s="92"/>
      <c r="E2329" s="92"/>
      <c r="F2329" s="92"/>
      <c r="G2329" s="92"/>
      <c r="H2329" s="92"/>
      <c r="I2329" s="92"/>
      <c r="J2329" s="92"/>
      <c r="K2329" s="92"/>
      <c r="L2329" s="92"/>
      <c r="M2329" s="92"/>
      <c r="N2329" s="92"/>
      <c r="O2329" s="92"/>
      <c r="P2329" s="92"/>
    </row>
    <row r="2330" spans="1:16" s="154" customFormat="1" ht="12">
      <c r="A2330" s="92"/>
      <c r="B2330" s="92"/>
      <c r="C2330" s="92"/>
      <c r="D2330" s="92"/>
      <c r="E2330" s="92"/>
      <c r="F2330" s="92"/>
      <c r="G2330" s="92"/>
      <c r="H2330" s="92"/>
      <c r="I2330" s="92"/>
      <c r="J2330" s="92"/>
      <c r="K2330" s="92"/>
      <c r="L2330" s="92"/>
      <c r="M2330" s="92"/>
      <c r="N2330" s="92"/>
      <c r="O2330" s="92"/>
      <c r="P2330" s="92"/>
    </row>
    <row r="2331" spans="1:16" s="154" customFormat="1" ht="12">
      <c r="A2331" s="92"/>
      <c r="B2331" s="92"/>
      <c r="C2331" s="92"/>
      <c r="D2331" s="92"/>
      <c r="E2331" s="92"/>
      <c r="F2331" s="92"/>
      <c r="G2331" s="92"/>
      <c r="H2331" s="92"/>
      <c r="I2331" s="92"/>
      <c r="J2331" s="92"/>
      <c r="K2331" s="92"/>
      <c r="L2331" s="92"/>
      <c r="M2331" s="92"/>
      <c r="N2331" s="92"/>
      <c r="O2331" s="92"/>
      <c r="P2331" s="92"/>
    </row>
    <row r="2332" spans="1:16" s="154" customFormat="1" ht="12">
      <c r="A2332" s="92"/>
      <c r="B2332" s="92"/>
      <c r="C2332" s="92"/>
      <c r="D2332" s="92"/>
      <c r="E2332" s="92"/>
      <c r="F2332" s="92"/>
      <c r="G2332" s="92"/>
      <c r="H2332" s="92"/>
      <c r="I2332" s="92"/>
      <c r="J2332" s="92"/>
      <c r="K2332" s="92"/>
      <c r="L2332" s="92"/>
      <c r="M2332" s="92"/>
      <c r="N2332" s="92"/>
      <c r="O2332" s="92"/>
      <c r="P2332" s="92"/>
    </row>
    <row r="2333" spans="1:16" s="154" customFormat="1" ht="12">
      <c r="A2333" s="92"/>
      <c r="B2333" s="92"/>
      <c r="C2333" s="92"/>
      <c r="D2333" s="92"/>
      <c r="E2333" s="92"/>
      <c r="F2333" s="92"/>
      <c r="G2333" s="92"/>
      <c r="H2333" s="92"/>
      <c r="I2333" s="92"/>
      <c r="J2333" s="92"/>
      <c r="K2333" s="92"/>
      <c r="L2333" s="92"/>
      <c r="M2333" s="92"/>
      <c r="N2333" s="92"/>
      <c r="O2333" s="92"/>
      <c r="P2333" s="92"/>
    </row>
    <row r="2334" spans="1:16" s="154" customFormat="1" ht="12">
      <c r="A2334" s="92"/>
      <c r="B2334" s="92"/>
      <c r="C2334" s="92"/>
      <c r="D2334" s="92"/>
      <c r="E2334" s="92"/>
      <c r="F2334" s="92"/>
      <c r="G2334" s="92"/>
      <c r="H2334" s="92"/>
      <c r="I2334" s="92"/>
      <c r="J2334" s="92"/>
      <c r="K2334" s="92"/>
      <c r="L2334" s="92"/>
      <c r="M2334" s="92"/>
      <c r="N2334" s="92"/>
      <c r="O2334" s="92"/>
      <c r="P2334" s="92"/>
    </row>
    <row r="2335" spans="1:16" s="154" customFormat="1" ht="12">
      <c r="A2335" s="92"/>
      <c r="B2335" s="92"/>
      <c r="C2335" s="92"/>
      <c r="D2335" s="92"/>
      <c r="E2335" s="92"/>
      <c r="F2335" s="92"/>
      <c r="G2335" s="92"/>
      <c r="H2335" s="92"/>
      <c r="I2335" s="92"/>
      <c r="J2335" s="92"/>
      <c r="K2335" s="92"/>
      <c r="L2335" s="92"/>
      <c r="M2335" s="92"/>
      <c r="N2335" s="92"/>
      <c r="O2335" s="92"/>
      <c r="P2335" s="92"/>
    </row>
    <row r="2336" spans="1:16" s="154" customFormat="1" ht="12">
      <c r="A2336" s="92"/>
      <c r="B2336" s="92"/>
      <c r="C2336" s="92"/>
      <c r="D2336" s="92"/>
      <c r="E2336" s="92"/>
      <c r="F2336" s="92"/>
      <c r="G2336" s="92"/>
      <c r="H2336" s="92"/>
      <c r="I2336" s="92"/>
      <c r="J2336" s="92"/>
      <c r="K2336" s="92"/>
      <c r="L2336" s="92"/>
      <c r="M2336" s="92"/>
      <c r="N2336" s="92"/>
      <c r="O2336" s="92"/>
      <c r="P2336" s="92"/>
    </row>
    <row r="2337" spans="1:16" s="154" customFormat="1" ht="12">
      <c r="A2337" s="92"/>
      <c r="B2337" s="92"/>
      <c r="C2337" s="92"/>
      <c r="D2337" s="92"/>
      <c r="E2337" s="92"/>
      <c r="F2337" s="92"/>
      <c r="G2337" s="92"/>
      <c r="H2337" s="92"/>
      <c r="I2337" s="92"/>
      <c r="J2337" s="92"/>
      <c r="K2337" s="92"/>
      <c r="L2337" s="92"/>
      <c r="M2337" s="92"/>
      <c r="N2337" s="92"/>
      <c r="O2337" s="92"/>
      <c r="P2337" s="92"/>
    </row>
    <row r="2338" spans="1:16" s="154" customFormat="1" ht="12">
      <c r="A2338" s="92"/>
      <c r="B2338" s="92"/>
      <c r="C2338" s="92"/>
      <c r="D2338" s="92"/>
      <c r="E2338" s="92"/>
      <c r="F2338" s="92"/>
      <c r="G2338" s="92"/>
      <c r="H2338" s="92"/>
      <c r="I2338" s="92"/>
      <c r="J2338" s="92"/>
      <c r="K2338" s="92"/>
      <c r="L2338" s="92"/>
      <c r="M2338" s="92"/>
      <c r="N2338" s="92"/>
      <c r="O2338" s="92"/>
      <c r="P2338" s="92"/>
    </row>
    <row r="2339" spans="1:16" s="154" customFormat="1" ht="12">
      <c r="A2339" s="92"/>
      <c r="B2339" s="92"/>
      <c r="C2339" s="92"/>
      <c r="D2339" s="92"/>
      <c r="E2339" s="92"/>
      <c r="F2339" s="92"/>
      <c r="G2339" s="92"/>
      <c r="H2339" s="92"/>
      <c r="I2339" s="92"/>
      <c r="J2339" s="92"/>
      <c r="K2339" s="92"/>
      <c r="L2339" s="92"/>
      <c r="M2339" s="92"/>
      <c r="N2339" s="92"/>
      <c r="O2339" s="92"/>
      <c r="P2339" s="92"/>
    </row>
    <row r="2340" spans="1:16" s="154" customFormat="1" ht="12">
      <c r="A2340" s="92"/>
      <c r="B2340" s="92"/>
      <c r="C2340" s="92"/>
      <c r="D2340" s="92"/>
      <c r="E2340" s="92"/>
      <c r="F2340" s="92"/>
      <c r="G2340" s="92"/>
      <c r="H2340" s="92"/>
      <c r="I2340" s="92"/>
      <c r="J2340" s="92"/>
      <c r="K2340" s="92"/>
      <c r="L2340" s="92"/>
      <c r="M2340" s="92"/>
      <c r="N2340" s="92"/>
      <c r="O2340" s="92"/>
      <c r="P2340" s="92"/>
    </row>
    <row r="2341" spans="1:16" s="154" customFormat="1" ht="12">
      <c r="A2341" s="92"/>
      <c r="B2341" s="92"/>
      <c r="C2341" s="92"/>
      <c r="D2341" s="92"/>
      <c r="E2341" s="92"/>
      <c r="F2341" s="92"/>
      <c r="G2341" s="92"/>
      <c r="H2341" s="92"/>
      <c r="I2341" s="92"/>
      <c r="J2341" s="92"/>
      <c r="K2341" s="92"/>
      <c r="L2341" s="92"/>
      <c r="M2341" s="92"/>
      <c r="N2341" s="92"/>
      <c r="O2341" s="92"/>
      <c r="P2341" s="92"/>
    </row>
    <row r="2342" spans="1:16" s="154" customFormat="1" ht="12">
      <c r="A2342" s="92"/>
      <c r="B2342" s="92"/>
      <c r="C2342" s="92"/>
      <c r="D2342" s="92"/>
      <c r="E2342" s="92"/>
      <c r="F2342" s="92"/>
      <c r="G2342" s="92"/>
      <c r="H2342" s="92"/>
      <c r="I2342" s="92"/>
      <c r="J2342" s="92"/>
      <c r="K2342" s="92"/>
      <c r="L2342" s="92"/>
      <c r="M2342" s="92"/>
      <c r="N2342" s="92"/>
      <c r="O2342" s="92"/>
      <c r="P2342" s="92"/>
    </row>
    <row r="2343" spans="1:16" s="154" customFormat="1" ht="12">
      <c r="A2343" s="92"/>
      <c r="B2343" s="92"/>
      <c r="C2343" s="92"/>
      <c r="D2343" s="92"/>
      <c r="E2343" s="92"/>
      <c r="F2343" s="92"/>
      <c r="G2343" s="92"/>
      <c r="H2343" s="92"/>
      <c r="I2343" s="92"/>
      <c r="J2343" s="92"/>
      <c r="K2343" s="92"/>
      <c r="L2343" s="92"/>
      <c r="M2343" s="92"/>
      <c r="N2343" s="92"/>
      <c r="O2343" s="92"/>
      <c r="P2343" s="92"/>
    </row>
    <row r="2344" spans="1:16" s="154" customFormat="1" ht="12">
      <c r="A2344" s="92"/>
      <c r="B2344" s="92"/>
      <c r="C2344" s="92"/>
      <c r="D2344" s="92"/>
      <c r="E2344" s="92"/>
      <c r="F2344" s="92"/>
      <c r="G2344" s="92"/>
      <c r="H2344" s="92"/>
      <c r="I2344" s="92"/>
      <c r="J2344" s="92"/>
      <c r="K2344" s="92"/>
      <c r="L2344" s="92"/>
      <c r="M2344" s="92"/>
      <c r="N2344" s="92"/>
      <c r="O2344" s="92"/>
      <c r="P2344" s="92"/>
    </row>
    <row r="2345" spans="1:16" s="154" customFormat="1" ht="12">
      <c r="A2345" s="92"/>
      <c r="B2345" s="92"/>
      <c r="C2345" s="92"/>
      <c r="D2345" s="92"/>
      <c r="E2345" s="92"/>
      <c r="F2345" s="92"/>
      <c r="G2345" s="92"/>
      <c r="H2345" s="92"/>
      <c r="I2345" s="92"/>
      <c r="J2345" s="92"/>
      <c r="K2345" s="92"/>
      <c r="L2345" s="92"/>
      <c r="M2345" s="92"/>
      <c r="N2345" s="92"/>
      <c r="O2345" s="92"/>
      <c r="P2345" s="92"/>
    </row>
    <row r="2346" spans="1:16" s="154" customFormat="1" ht="12">
      <c r="A2346" s="92"/>
      <c r="B2346" s="92"/>
      <c r="C2346" s="92"/>
      <c r="D2346" s="92"/>
      <c r="E2346" s="92"/>
      <c r="F2346" s="92"/>
      <c r="G2346" s="92"/>
      <c r="H2346" s="92"/>
      <c r="I2346" s="92"/>
      <c r="J2346" s="92"/>
      <c r="K2346" s="92"/>
      <c r="L2346" s="92"/>
      <c r="M2346" s="92"/>
      <c r="N2346" s="92"/>
      <c r="O2346" s="92"/>
      <c r="P2346" s="92"/>
    </row>
    <row r="2347" spans="1:16" s="154" customFormat="1" ht="12">
      <c r="A2347" s="92"/>
      <c r="B2347" s="92"/>
      <c r="C2347" s="92"/>
      <c r="D2347" s="92"/>
      <c r="E2347" s="92"/>
      <c r="F2347" s="92"/>
      <c r="G2347" s="92"/>
      <c r="H2347" s="92"/>
      <c r="I2347" s="92"/>
      <c r="J2347" s="92"/>
      <c r="K2347" s="92"/>
      <c r="L2347" s="92"/>
      <c r="M2347" s="92"/>
      <c r="N2347" s="92"/>
      <c r="O2347" s="92"/>
      <c r="P2347" s="92"/>
    </row>
    <row r="2348" spans="1:16" s="154" customFormat="1" ht="12">
      <c r="A2348" s="92"/>
      <c r="B2348" s="92"/>
      <c r="C2348" s="92"/>
      <c r="D2348" s="92"/>
      <c r="E2348" s="92"/>
      <c r="F2348" s="92"/>
      <c r="G2348" s="92"/>
      <c r="H2348" s="92"/>
      <c r="I2348" s="92"/>
      <c r="J2348" s="92"/>
      <c r="K2348" s="92"/>
      <c r="L2348" s="92"/>
      <c r="M2348" s="92"/>
      <c r="N2348" s="92"/>
      <c r="O2348" s="92"/>
      <c r="P2348" s="92"/>
    </row>
    <row r="2349" spans="1:16" s="154" customFormat="1" ht="12">
      <c r="A2349" s="92"/>
      <c r="B2349" s="92"/>
      <c r="C2349" s="92"/>
      <c r="D2349" s="92"/>
      <c r="E2349" s="92"/>
      <c r="F2349" s="92"/>
      <c r="G2349" s="92"/>
      <c r="H2349" s="92"/>
      <c r="I2349" s="92"/>
      <c r="J2349" s="92"/>
      <c r="K2349" s="92"/>
      <c r="L2349" s="92"/>
      <c r="M2349" s="92"/>
      <c r="N2349" s="92"/>
      <c r="O2349" s="92"/>
      <c r="P2349" s="92"/>
    </row>
    <row r="2350" spans="1:16" s="154" customFormat="1" ht="12">
      <c r="A2350" s="92"/>
      <c r="B2350" s="92"/>
      <c r="C2350" s="92"/>
      <c r="D2350" s="92"/>
      <c r="E2350" s="92"/>
      <c r="F2350" s="92"/>
      <c r="G2350" s="92"/>
      <c r="H2350" s="92"/>
      <c r="I2350" s="92"/>
      <c r="J2350" s="92"/>
      <c r="K2350" s="92"/>
      <c r="L2350" s="92"/>
      <c r="M2350" s="92"/>
      <c r="N2350" s="92"/>
      <c r="O2350" s="92"/>
      <c r="P2350" s="92"/>
    </row>
    <row r="2351" spans="1:16" s="154" customFormat="1" ht="12">
      <c r="A2351" s="92"/>
      <c r="B2351" s="92"/>
      <c r="C2351" s="92"/>
      <c r="D2351" s="92"/>
      <c r="E2351" s="92"/>
      <c r="F2351" s="92"/>
      <c r="G2351" s="92"/>
      <c r="H2351" s="92"/>
      <c r="I2351" s="92"/>
      <c r="J2351" s="92"/>
      <c r="K2351" s="92"/>
      <c r="L2351" s="92"/>
      <c r="M2351" s="92"/>
      <c r="N2351" s="92"/>
      <c r="O2351" s="92"/>
      <c r="P2351" s="92"/>
    </row>
    <row r="2352" spans="1:16" s="154" customFormat="1" ht="12">
      <c r="A2352" s="92"/>
      <c r="B2352" s="92"/>
      <c r="C2352" s="92"/>
      <c r="D2352" s="92"/>
      <c r="E2352" s="92"/>
      <c r="F2352" s="92"/>
      <c r="G2352" s="92"/>
      <c r="H2352" s="92"/>
      <c r="I2352" s="92"/>
      <c r="J2352" s="92"/>
      <c r="K2352" s="92"/>
      <c r="L2352" s="92"/>
      <c r="M2352" s="92"/>
      <c r="N2352" s="92"/>
      <c r="O2352" s="92"/>
      <c r="P2352" s="92"/>
    </row>
    <row r="2353" spans="1:16" s="154" customFormat="1" ht="12">
      <c r="A2353" s="92"/>
      <c r="B2353" s="92"/>
      <c r="C2353" s="92"/>
      <c r="D2353" s="92"/>
      <c r="E2353" s="92"/>
      <c r="F2353" s="92"/>
      <c r="G2353" s="92"/>
      <c r="H2353" s="92"/>
      <c r="I2353" s="92"/>
      <c r="J2353" s="92"/>
      <c r="K2353" s="92"/>
      <c r="L2353" s="92"/>
      <c r="M2353" s="92"/>
      <c r="N2353" s="92"/>
      <c r="O2353" s="92"/>
      <c r="P2353" s="92"/>
    </row>
    <row r="2354" spans="1:16" s="154" customFormat="1" ht="12">
      <c r="A2354" s="92"/>
      <c r="B2354" s="92"/>
      <c r="C2354" s="92"/>
      <c r="D2354" s="92"/>
      <c r="E2354" s="92"/>
      <c r="F2354" s="92"/>
      <c r="G2354" s="92"/>
      <c r="H2354" s="92"/>
      <c r="I2354" s="92"/>
      <c r="J2354" s="92"/>
      <c r="K2354" s="92"/>
      <c r="L2354" s="92"/>
      <c r="M2354" s="92"/>
      <c r="N2354" s="92"/>
      <c r="O2354" s="92"/>
      <c r="P2354" s="92"/>
    </row>
    <row r="2355" spans="1:16" s="154" customFormat="1" ht="12">
      <c r="A2355" s="92"/>
      <c r="B2355" s="92"/>
      <c r="C2355" s="92"/>
      <c r="D2355" s="92"/>
      <c r="E2355" s="92"/>
      <c r="F2355" s="92"/>
      <c r="G2355" s="92"/>
      <c r="H2355" s="92"/>
      <c r="I2355" s="92"/>
      <c r="J2355" s="92"/>
      <c r="K2355" s="92"/>
      <c r="L2355" s="92"/>
      <c r="M2355" s="92"/>
      <c r="N2355" s="92"/>
      <c r="O2355" s="92"/>
      <c r="P2355" s="92"/>
    </row>
    <row r="2356" spans="1:16" s="154" customFormat="1" ht="12">
      <c r="A2356" s="92"/>
      <c r="B2356" s="92"/>
      <c r="C2356" s="92"/>
      <c r="D2356" s="92"/>
      <c r="E2356" s="92"/>
      <c r="F2356" s="92"/>
      <c r="G2356" s="92"/>
      <c r="H2356" s="92"/>
      <c r="I2356" s="92"/>
      <c r="J2356" s="92"/>
      <c r="K2356" s="92"/>
      <c r="L2356" s="92"/>
      <c r="M2356" s="92"/>
      <c r="N2356" s="92"/>
      <c r="O2356" s="92"/>
      <c r="P2356" s="92"/>
    </row>
    <row r="2357" spans="1:16" s="154" customFormat="1" ht="12">
      <c r="A2357" s="92"/>
      <c r="B2357" s="92"/>
      <c r="C2357" s="92"/>
      <c r="D2357" s="92"/>
      <c r="E2357" s="92"/>
      <c r="F2357" s="92"/>
      <c r="G2357" s="92"/>
      <c r="H2357" s="92"/>
      <c r="I2357" s="92"/>
      <c r="J2357" s="92"/>
      <c r="K2357" s="92"/>
      <c r="L2357" s="92"/>
      <c r="M2357" s="92"/>
      <c r="N2357" s="92"/>
      <c r="O2357" s="92"/>
      <c r="P2357" s="92"/>
    </row>
    <row r="2358" spans="1:16" s="154" customFormat="1" ht="12">
      <c r="A2358" s="92"/>
      <c r="B2358" s="92"/>
      <c r="C2358" s="92"/>
      <c r="D2358" s="92"/>
      <c r="E2358" s="92"/>
      <c r="F2358" s="92"/>
      <c r="G2358" s="92"/>
      <c r="H2358" s="92"/>
      <c r="I2358" s="92"/>
      <c r="J2358" s="92"/>
      <c r="K2358" s="92"/>
      <c r="L2358" s="92"/>
      <c r="M2358" s="92"/>
      <c r="N2358" s="92"/>
      <c r="O2358" s="92"/>
      <c r="P2358" s="92"/>
    </row>
    <row r="2359" spans="1:16" s="154" customFormat="1" ht="12">
      <c r="A2359" s="92"/>
      <c r="B2359" s="92"/>
      <c r="C2359" s="92"/>
      <c r="D2359" s="92"/>
      <c r="E2359" s="92"/>
      <c r="F2359" s="92"/>
      <c r="G2359" s="92"/>
      <c r="H2359" s="92"/>
      <c r="I2359" s="92"/>
      <c r="J2359" s="92"/>
      <c r="K2359" s="92"/>
      <c r="L2359" s="92"/>
      <c r="M2359" s="92"/>
      <c r="N2359" s="92"/>
      <c r="O2359" s="92"/>
      <c r="P2359" s="92"/>
    </row>
    <row r="2360" spans="1:16" s="154" customFormat="1" ht="12">
      <c r="A2360" s="92"/>
      <c r="B2360" s="92"/>
      <c r="C2360" s="92"/>
      <c r="D2360" s="92"/>
      <c r="E2360" s="92"/>
      <c r="F2360" s="92"/>
      <c r="G2360" s="92"/>
      <c r="H2360" s="92"/>
      <c r="I2360" s="92"/>
      <c r="J2360" s="92"/>
      <c r="K2360" s="92"/>
      <c r="L2360" s="92"/>
      <c r="M2360" s="92"/>
      <c r="N2360" s="92"/>
      <c r="O2360" s="92"/>
      <c r="P2360" s="92"/>
    </row>
    <row r="2361" spans="1:16" s="154" customFormat="1" ht="12">
      <c r="A2361" s="92"/>
      <c r="B2361" s="92"/>
      <c r="C2361" s="92"/>
      <c r="D2361" s="92"/>
      <c r="E2361" s="92"/>
      <c r="F2361" s="92"/>
      <c r="G2361" s="92"/>
      <c r="H2361" s="92"/>
      <c r="I2361" s="92"/>
      <c r="J2361" s="92"/>
      <c r="K2361" s="92"/>
      <c r="L2361" s="92"/>
      <c r="M2361" s="92"/>
      <c r="N2361" s="92"/>
      <c r="O2361" s="92"/>
      <c r="P2361" s="92"/>
    </row>
    <row r="2362" spans="1:16" s="154" customFormat="1" ht="12">
      <c r="A2362" s="92"/>
      <c r="B2362" s="92"/>
      <c r="C2362" s="92"/>
      <c r="D2362" s="92"/>
      <c r="E2362" s="92"/>
      <c r="F2362" s="92"/>
      <c r="G2362" s="92"/>
      <c r="H2362" s="92"/>
      <c r="I2362" s="92"/>
      <c r="J2362" s="92"/>
      <c r="K2362" s="92"/>
      <c r="L2362" s="92"/>
      <c r="M2362" s="92"/>
      <c r="N2362" s="92"/>
      <c r="O2362" s="92"/>
      <c r="P2362" s="92"/>
    </row>
    <row r="2363" spans="1:16" s="154" customFormat="1" ht="12">
      <c r="A2363" s="92"/>
      <c r="B2363" s="92"/>
      <c r="C2363" s="92"/>
      <c r="D2363" s="92"/>
      <c r="E2363" s="92"/>
      <c r="F2363" s="92"/>
      <c r="G2363" s="92"/>
      <c r="H2363" s="92"/>
      <c r="I2363" s="92"/>
      <c r="J2363" s="92"/>
      <c r="K2363" s="92"/>
      <c r="L2363" s="92"/>
      <c r="M2363" s="92"/>
      <c r="N2363" s="92"/>
      <c r="O2363" s="92"/>
      <c r="P2363" s="92"/>
    </row>
    <row r="2364" spans="1:16" s="154" customFormat="1" ht="12">
      <c r="A2364" s="92"/>
      <c r="B2364" s="92"/>
      <c r="C2364" s="92"/>
      <c r="D2364" s="92"/>
      <c r="E2364" s="92"/>
      <c r="F2364" s="92"/>
      <c r="G2364" s="92"/>
      <c r="H2364" s="92"/>
      <c r="I2364" s="92"/>
      <c r="J2364" s="92"/>
      <c r="K2364" s="92"/>
      <c r="L2364" s="92"/>
      <c r="M2364" s="92"/>
      <c r="N2364" s="92"/>
      <c r="O2364" s="92"/>
      <c r="P2364" s="92"/>
    </row>
    <row r="2365" spans="1:16" s="154" customFormat="1" ht="12">
      <c r="A2365" s="92"/>
      <c r="B2365" s="92"/>
      <c r="C2365" s="92"/>
      <c r="D2365" s="92"/>
      <c r="E2365" s="92"/>
      <c r="F2365" s="92"/>
      <c r="G2365" s="92"/>
      <c r="H2365" s="92"/>
      <c r="I2365" s="92"/>
      <c r="J2365" s="92"/>
      <c r="K2365" s="92"/>
      <c r="L2365" s="92"/>
      <c r="M2365" s="92"/>
      <c r="N2365" s="92"/>
      <c r="O2365" s="92"/>
      <c r="P2365" s="92"/>
    </row>
    <row r="2366" spans="1:16" s="154" customFormat="1" ht="12">
      <c r="A2366" s="92"/>
      <c r="B2366" s="92"/>
      <c r="C2366" s="92"/>
      <c r="D2366" s="92"/>
      <c r="E2366" s="92"/>
      <c r="F2366" s="92"/>
      <c r="G2366" s="92"/>
      <c r="H2366" s="92"/>
      <c r="I2366" s="92"/>
      <c r="J2366" s="92"/>
      <c r="K2366" s="92"/>
      <c r="L2366" s="92"/>
      <c r="M2366" s="92"/>
      <c r="N2366" s="92"/>
      <c r="O2366" s="92"/>
      <c r="P2366" s="92"/>
    </row>
    <row r="2367" spans="1:16" s="154" customFormat="1" ht="12">
      <c r="A2367" s="92"/>
      <c r="B2367" s="92"/>
      <c r="C2367" s="92"/>
      <c r="D2367" s="92"/>
      <c r="E2367" s="92"/>
      <c r="F2367" s="92"/>
      <c r="G2367" s="92"/>
      <c r="H2367" s="92"/>
      <c r="I2367" s="92"/>
      <c r="J2367" s="92"/>
      <c r="K2367" s="92"/>
      <c r="L2367" s="92"/>
      <c r="M2367" s="92"/>
      <c r="N2367" s="92"/>
      <c r="O2367" s="92"/>
      <c r="P2367" s="92"/>
    </row>
    <row r="2368" spans="1:16" s="154" customFormat="1" ht="12">
      <c r="A2368" s="92"/>
      <c r="B2368" s="92"/>
      <c r="C2368" s="92"/>
      <c r="D2368" s="92"/>
      <c r="E2368" s="92"/>
      <c r="F2368" s="92"/>
      <c r="G2368" s="92"/>
      <c r="H2368" s="92"/>
      <c r="I2368" s="92"/>
      <c r="J2368" s="92"/>
      <c r="K2368" s="92"/>
      <c r="L2368" s="92"/>
      <c r="M2368" s="92"/>
      <c r="N2368" s="92"/>
      <c r="O2368" s="92"/>
      <c r="P2368" s="92"/>
    </row>
    <row r="2369" spans="1:16" s="154" customFormat="1" ht="12">
      <c r="A2369" s="92"/>
      <c r="B2369" s="92"/>
      <c r="C2369" s="92"/>
      <c r="D2369" s="92"/>
      <c r="E2369" s="92"/>
      <c r="F2369" s="92"/>
      <c r="G2369" s="92"/>
      <c r="H2369" s="92"/>
      <c r="I2369" s="92"/>
      <c r="J2369" s="92"/>
      <c r="K2369" s="92"/>
      <c r="L2369" s="92"/>
      <c r="M2369" s="92"/>
      <c r="N2369" s="92"/>
      <c r="O2369" s="92"/>
      <c r="P2369" s="92"/>
    </row>
    <row r="2370" spans="1:16" s="154" customFormat="1" ht="12">
      <c r="A2370" s="92"/>
      <c r="B2370" s="92"/>
      <c r="C2370" s="92"/>
      <c r="D2370" s="92"/>
      <c r="E2370" s="92"/>
      <c r="F2370" s="92"/>
      <c r="G2370" s="92"/>
      <c r="H2370" s="92"/>
      <c r="I2370" s="92"/>
      <c r="J2370" s="92"/>
      <c r="K2370" s="92"/>
      <c r="L2370" s="92"/>
      <c r="M2370" s="92"/>
      <c r="N2370" s="92"/>
      <c r="O2370" s="92"/>
      <c r="P2370" s="92"/>
    </row>
    <row r="2371" spans="1:16" s="154" customFormat="1" ht="12">
      <c r="A2371" s="92"/>
      <c r="B2371" s="92"/>
      <c r="C2371" s="92"/>
      <c r="D2371" s="92"/>
      <c r="E2371" s="92"/>
      <c r="F2371" s="92"/>
      <c r="G2371" s="92"/>
      <c r="H2371" s="92"/>
      <c r="I2371" s="92"/>
      <c r="J2371" s="92"/>
      <c r="K2371" s="92"/>
      <c r="L2371" s="92"/>
      <c r="M2371" s="92"/>
      <c r="N2371" s="92"/>
      <c r="O2371" s="92"/>
      <c r="P2371" s="92"/>
    </row>
    <row r="2372" spans="1:16" s="154" customFormat="1" ht="12">
      <c r="A2372" s="92"/>
      <c r="B2372" s="92"/>
      <c r="C2372" s="92"/>
      <c r="D2372" s="92"/>
      <c r="E2372" s="92"/>
      <c r="F2372" s="92"/>
      <c r="G2372" s="92"/>
      <c r="H2372" s="92"/>
      <c r="I2372" s="92"/>
      <c r="J2372" s="92"/>
      <c r="K2372" s="92"/>
      <c r="L2372" s="92"/>
      <c r="M2372" s="92"/>
      <c r="N2372" s="92"/>
      <c r="O2372" s="92"/>
      <c r="P2372" s="92"/>
    </row>
    <row r="2373" spans="1:16" s="154" customFormat="1" ht="12">
      <c r="A2373" s="92"/>
      <c r="B2373" s="92"/>
      <c r="C2373" s="92"/>
      <c r="D2373" s="92"/>
      <c r="E2373" s="92"/>
      <c r="F2373" s="92"/>
      <c r="G2373" s="92"/>
      <c r="H2373" s="92"/>
      <c r="I2373" s="92"/>
      <c r="J2373" s="92"/>
      <c r="K2373" s="92"/>
      <c r="L2373" s="92"/>
      <c r="M2373" s="92"/>
      <c r="N2373" s="92"/>
      <c r="O2373" s="92"/>
      <c r="P2373" s="92"/>
    </row>
    <row r="2374" spans="1:16" s="154" customFormat="1" ht="12">
      <c r="A2374" s="92"/>
      <c r="B2374" s="92"/>
      <c r="C2374" s="92"/>
      <c r="D2374" s="92"/>
      <c r="E2374" s="92"/>
      <c r="F2374" s="92"/>
      <c r="G2374" s="92"/>
      <c r="H2374" s="92"/>
      <c r="I2374" s="92"/>
      <c r="J2374" s="92"/>
      <c r="K2374" s="92"/>
      <c r="L2374" s="92"/>
      <c r="M2374" s="92"/>
      <c r="N2374" s="92"/>
      <c r="O2374" s="92"/>
      <c r="P2374" s="92"/>
    </row>
    <row r="2375" spans="1:16" s="154" customFormat="1" ht="12">
      <c r="A2375" s="92"/>
      <c r="B2375" s="92"/>
      <c r="C2375" s="92"/>
      <c r="D2375" s="92"/>
      <c r="E2375" s="92"/>
      <c r="F2375" s="92"/>
      <c r="G2375" s="92"/>
      <c r="H2375" s="92"/>
      <c r="I2375" s="92"/>
      <c r="J2375" s="92"/>
      <c r="K2375" s="92"/>
      <c r="L2375" s="92"/>
      <c r="M2375" s="92"/>
      <c r="N2375" s="92"/>
      <c r="O2375" s="92"/>
      <c r="P2375" s="92"/>
    </row>
    <row r="2376" spans="1:16" s="154" customFormat="1" ht="12">
      <c r="A2376" s="92"/>
      <c r="B2376" s="92"/>
      <c r="C2376" s="92"/>
      <c r="D2376" s="92"/>
      <c r="E2376" s="92"/>
      <c r="F2376" s="92"/>
      <c r="G2376" s="92"/>
      <c r="H2376" s="92"/>
      <c r="I2376" s="92"/>
      <c r="J2376" s="92"/>
      <c r="K2376" s="92"/>
      <c r="L2376" s="92"/>
      <c r="M2376" s="92"/>
      <c r="N2376" s="92"/>
      <c r="O2376" s="92"/>
      <c r="P2376" s="92"/>
    </row>
    <row r="2377" spans="1:16" s="154" customFormat="1" ht="12">
      <c r="A2377" s="92"/>
      <c r="B2377" s="92"/>
      <c r="C2377" s="92"/>
      <c r="D2377" s="92"/>
      <c r="E2377" s="92"/>
      <c r="F2377" s="92"/>
      <c r="G2377" s="92"/>
      <c r="H2377" s="92"/>
      <c r="I2377" s="92"/>
      <c r="J2377" s="92"/>
      <c r="K2377" s="92"/>
      <c r="L2377" s="92"/>
      <c r="M2377" s="92"/>
      <c r="N2377" s="92"/>
      <c r="O2377" s="92"/>
      <c r="P2377" s="92"/>
    </row>
    <row r="2378" spans="1:16" s="154" customFormat="1" ht="12">
      <c r="A2378" s="92"/>
      <c r="B2378" s="92"/>
      <c r="C2378" s="92"/>
      <c r="D2378" s="92"/>
      <c r="E2378" s="92"/>
      <c r="F2378" s="92"/>
      <c r="G2378" s="92"/>
      <c r="H2378" s="92"/>
      <c r="I2378" s="92"/>
      <c r="J2378" s="92"/>
      <c r="K2378" s="92"/>
      <c r="L2378" s="92"/>
      <c r="M2378" s="92"/>
      <c r="N2378" s="92"/>
      <c r="O2378" s="92"/>
      <c r="P2378" s="92"/>
    </row>
    <row r="2379" spans="1:16" s="154" customFormat="1" ht="12">
      <c r="A2379" s="92"/>
      <c r="B2379" s="92"/>
      <c r="C2379" s="92"/>
      <c r="D2379" s="92"/>
      <c r="E2379" s="92"/>
      <c r="F2379" s="92"/>
      <c r="G2379" s="92"/>
      <c r="H2379" s="92"/>
      <c r="I2379" s="92"/>
      <c r="J2379" s="92"/>
      <c r="K2379" s="92"/>
      <c r="L2379" s="92"/>
      <c r="M2379" s="92"/>
      <c r="N2379" s="92"/>
      <c r="O2379" s="92"/>
      <c r="P2379" s="92"/>
    </row>
    <row r="2380" spans="1:16" s="154" customFormat="1" ht="12">
      <c r="A2380" s="92"/>
      <c r="B2380" s="92"/>
      <c r="C2380" s="92"/>
      <c r="D2380" s="92"/>
      <c r="E2380" s="92"/>
      <c r="F2380" s="92"/>
      <c r="G2380" s="92"/>
      <c r="H2380" s="92"/>
      <c r="I2380" s="92"/>
      <c r="J2380" s="92"/>
      <c r="K2380" s="92"/>
      <c r="L2380" s="92"/>
      <c r="M2380" s="92"/>
      <c r="N2380" s="92"/>
      <c r="O2380" s="92"/>
      <c r="P2380" s="92"/>
    </row>
    <row r="2381" spans="1:16" s="154" customFormat="1" ht="12">
      <c r="A2381" s="92"/>
      <c r="B2381" s="92"/>
      <c r="C2381" s="92"/>
      <c r="D2381" s="92"/>
      <c r="E2381" s="92"/>
      <c r="F2381" s="92"/>
      <c r="G2381" s="92"/>
      <c r="H2381" s="92"/>
      <c r="I2381" s="92"/>
      <c r="J2381" s="92"/>
      <c r="K2381" s="92"/>
      <c r="L2381" s="92"/>
      <c r="M2381" s="92"/>
      <c r="N2381" s="92"/>
      <c r="O2381" s="92"/>
      <c r="P2381" s="92"/>
    </row>
    <row r="2382" spans="1:16" s="154" customFormat="1" ht="12">
      <c r="A2382" s="92"/>
      <c r="B2382" s="92"/>
      <c r="C2382" s="92"/>
      <c r="D2382" s="92"/>
      <c r="E2382" s="92"/>
      <c r="F2382" s="92"/>
      <c r="G2382" s="92"/>
      <c r="H2382" s="92"/>
      <c r="I2382" s="92"/>
      <c r="J2382" s="92"/>
      <c r="K2382" s="92"/>
      <c r="L2382" s="92"/>
      <c r="M2382" s="92"/>
      <c r="N2382" s="92"/>
      <c r="O2382" s="92"/>
      <c r="P2382" s="92"/>
    </row>
    <row r="2383" spans="1:16" s="154" customFormat="1" ht="12">
      <c r="A2383" s="92"/>
      <c r="B2383" s="92"/>
      <c r="C2383" s="92"/>
      <c r="D2383" s="92"/>
      <c r="E2383" s="92"/>
      <c r="F2383" s="92"/>
      <c r="G2383" s="92"/>
      <c r="H2383" s="92"/>
      <c r="I2383" s="92"/>
      <c r="J2383" s="92"/>
      <c r="K2383" s="92"/>
      <c r="L2383" s="92"/>
      <c r="M2383" s="92"/>
      <c r="N2383" s="92"/>
      <c r="O2383" s="92"/>
      <c r="P2383" s="92"/>
    </row>
    <row r="2384" spans="1:16" s="154" customFormat="1" ht="12">
      <c r="A2384" s="92"/>
      <c r="B2384" s="92"/>
      <c r="C2384" s="92"/>
      <c r="D2384" s="92"/>
      <c r="E2384" s="92"/>
      <c r="F2384" s="92"/>
      <c r="G2384" s="92"/>
      <c r="H2384" s="92"/>
      <c r="I2384" s="92"/>
      <c r="J2384" s="92"/>
      <c r="K2384" s="92"/>
      <c r="L2384" s="92"/>
      <c r="M2384" s="92"/>
      <c r="N2384" s="92"/>
      <c r="O2384" s="92"/>
      <c r="P2384" s="92"/>
    </row>
    <row r="2385" spans="1:16" s="154" customFormat="1" ht="12">
      <c r="A2385" s="92"/>
      <c r="B2385" s="92"/>
      <c r="C2385" s="92"/>
      <c r="D2385" s="92"/>
      <c r="E2385" s="92"/>
      <c r="F2385" s="92"/>
      <c r="G2385" s="92"/>
      <c r="H2385" s="92"/>
      <c r="I2385" s="92"/>
      <c r="J2385" s="92"/>
      <c r="K2385" s="92"/>
      <c r="L2385" s="92"/>
      <c r="M2385" s="92"/>
      <c r="N2385" s="92"/>
      <c r="O2385" s="92"/>
      <c r="P2385" s="92"/>
    </row>
    <row r="2386" spans="1:16" s="154" customFormat="1" ht="12">
      <c r="A2386" s="92"/>
      <c r="B2386" s="92"/>
      <c r="C2386" s="92"/>
      <c r="D2386" s="92"/>
      <c r="E2386" s="92"/>
      <c r="F2386" s="92"/>
      <c r="G2386" s="92"/>
      <c r="H2386" s="92"/>
      <c r="I2386" s="92"/>
      <c r="J2386" s="92"/>
      <c r="K2386" s="92"/>
      <c r="L2386" s="92"/>
      <c r="M2386" s="92"/>
      <c r="N2386" s="92"/>
      <c r="O2386" s="92"/>
      <c r="P2386" s="92"/>
    </row>
    <row r="2387" spans="1:16" s="154" customFormat="1" ht="12">
      <c r="A2387" s="92"/>
      <c r="B2387" s="92"/>
      <c r="C2387" s="92"/>
      <c r="D2387" s="92"/>
      <c r="E2387" s="92"/>
      <c r="F2387" s="92"/>
      <c r="G2387" s="92"/>
      <c r="H2387" s="92"/>
      <c r="I2387" s="92"/>
      <c r="J2387" s="92"/>
      <c r="K2387" s="92"/>
      <c r="L2387" s="92"/>
      <c r="M2387" s="92"/>
      <c r="N2387" s="92"/>
      <c r="O2387" s="92"/>
      <c r="P2387" s="92"/>
    </row>
    <row r="2388" spans="1:16" s="154" customFormat="1" ht="12">
      <c r="A2388" s="92"/>
      <c r="B2388" s="92"/>
      <c r="C2388" s="92"/>
      <c r="D2388" s="92"/>
      <c r="E2388" s="92"/>
      <c r="F2388" s="92"/>
      <c r="G2388" s="92"/>
      <c r="H2388" s="92"/>
      <c r="I2388" s="92"/>
      <c r="J2388" s="92"/>
      <c r="K2388" s="92"/>
      <c r="L2388" s="92"/>
      <c r="M2388" s="92"/>
      <c r="N2388" s="92"/>
      <c r="O2388" s="92"/>
      <c r="P2388" s="92"/>
    </row>
    <row r="2389" spans="1:16" s="154" customFormat="1" ht="12">
      <c r="A2389" s="92"/>
      <c r="B2389" s="92"/>
      <c r="C2389" s="92"/>
      <c r="D2389" s="92"/>
      <c r="E2389" s="92"/>
      <c r="F2389" s="92"/>
      <c r="G2389" s="92"/>
      <c r="H2389" s="92"/>
      <c r="I2389" s="92"/>
      <c r="J2389" s="92"/>
      <c r="K2389" s="92"/>
      <c r="L2389" s="92"/>
      <c r="M2389" s="92"/>
      <c r="N2389" s="92"/>
      <c r="O2389" s="92"/>
      <c r="P2389" s="92"/>
    </row>
    <row r="2390" spans="1:16" s="154" customFormat="1" ht="12">
      <c r="A2390" s="92"/>
      <c r="B2390" s="92"/>
      <c r="C2390" s="92"/>
      <c r="D2390" s="92"/>
      <c r="E2390" s="92"/>
      <c r="F2390" s="92"/>
      <c r="G2390" s="92"/>
      <c r="H2390" s="92"/>
      <c r="I2390" s="92"/>
      <c r="J2390" s="92"/>
      <c r="K2390" s="92"/>
      <c r="L2390" s="92"/>
      <c r="M2390" s="92"/>
      <c r="N2390" s="92"/>
      <c r="O2390" s="92"/>
      <c r="P2390" s="92"/>
    </row>
    <row r="2391" spans="1:16" s="154" customFormat="1" ht="12">
      <c r="A2391" s="92"/>
      <c r="B2391" s="92"/>
      <c r="C2391" s="92"/>
      <c r="D2391" s="92"/>
      <c r="E2391" s="92"/>
      <c r="F2391" s="92"/>
      <c r="G2391" s="92"/>
      <c r="H2391" s="92"/>
      <c r="I2391" s="92"/>
      <c r="J2391" s="92"/>
      <c r="K2391" s="92"/>
      <c r="L2391" s="92"/>
      <c r="M2391" s="92"/>
      <c r="N2391" s="92"/>
      <c r="O2391" s="92"/>
      <c r="P2391" s="92"/>
    </row>
    <row r="2392" spans="1:16" s="154" customFormat="1" ht="12">
      <c r="A2392" s="92"/>
      <c r="B2392" s="92"/>
      <c r="C2392" s="92"/>
      <c r="D2392" s="92"/>
      <c r="E2392" s="92"/>
      <c r="F2392" s="92"/>
      <c r="G2392" s="92"/>
      <c r="H2392" s="92"/>
      <c r="I2392" s="92"/>
      <c r="J2392" s="92"/>
      <c r="K2392" s="92"/>
      <c r="L2392" s="92"/>
      <c r="M2392" s="92"/>
      <c r="N2392" s="92"/>
      <c r="O2392" s="92"/>
      <c r="P2392" s="92"/>
    </row>
    <row r="2393" spans="1:16" s="154" customFormat="1" ht="12">
      <c r="A2393" s="92"/>
      <c r="B2393" s="92"/>
      <c r="C2393" s="92"/>
      <c r="D2393" s="92"/>
      <c r="E2393" s="92"/>
      <c r="F2393" s="92"/>
      <c r="G2393" s="92"/>
      <c r="H2393" s="92"/>
      <c r="I2393" s="92"/>
      <c r="J2393" s="92"/>
      <c r="K2393" s="92"/>
      <c r="L2393" s="92"/>
      <c r="M2393" s="92"/>
      <c r="N2393" s="92"/>
      <c r="O2393" s="92"/>
      <c r="P2393" s="92"/>
    </row>
    <row r="2394" spans="1:16" s="154" customFormat="1" ht="12">
      <c r="A2394" s="92"/>
      <c r="B2394" s="92"/>
      <c r="C2394" s="92"/>
      <c r="D2394" s="92"/>
      <c r="E2394" s="92"/>
      <c r="F2394" s="92"/>
      <c r="G2394" s="92"/>
      <c r="H2394" s="92"/>
      <c r="I2394" s="92"/>
      <c r="J2394" s="92"/>
      <c r="K2394" s="92"/>
      <c r="L2394" s="92"/>
      <c r="M2394" s="92"/>
      <c r="N2394" s="92"/>
      <c r="O2394" s="92"/>
      <c r="P2394" s="92"/>
    </row>
    <row r="2395" spans="1:16" s="154" customFormat="1" ht="12">
      <c r="A2395" s="92"/>
      <c r="B2395" s="92"/>
      <c r="C2395" s="92"/>
      <c r="D2395" s="92"/>
      <c r="E2395" s="92"/>
      <c r="F2395" s="92"/>
      <c r="G2395" s="92"/>
      <c r="H2395" s="92"/>
      <c r="I2395" s="92"/>
      <c r="J2395" s="92"/>
      <c r="K2395" s="92"/>
      <c r="L2395" s="92"/>
      <c r="M2395" s="92"/>
      <c r="N2395" s="92"/>
      <c r="O2395" s="92"/>
      <c r="P2395" s="92"/>
    </row>
    <row r="2396" spans="1:16" s="154" customFormat="1" ht="12">
      <c r="A2396" s="92"/>
      <c r="B2396" s="92"/>
      <c r="C2396" s="92"/>
      <c r="D2396" s="92"/>
      <c r="E2396" s="92"/>
      <c r="F2396" s="92"/>
      <c r="G2396" s="92"/>
      <c r="H2396" s="92"/>
      <c r="I2396" s="92"/>
      <c r="J2396" s="92"/>
      <c r="K2396" s="92"/>
      <c r="L2396" s="92"/>
      <c r="M2396" s="92"/>
      <c r="N2396" s="92"/>
      <c r="O2396" s="92"/>
      <c r="P2396" s="92"/>
    </row>
    <row r="2397" spans="1:16" s="154" customFormat="1" ht="12">
      <c r="A2397" s="92"/>
      <c r="B2397" s="92"/>
      <c r="C2397" s="92"/>
      <c r="D2397" s="92"/>
      <c r="E2397" s="92"/>
      <c r="F2397" s="92"/>
      <c r="G2397" s="92"/>
      <c r="H2397" s="92"/>
      <c r="I2397" s="92"/>
      <c r="J2397" s="92"/>
      <c r="K2397" s="92"/>
      <c r="L2397" s="92"/>
      <c r="M2397" s="92"/>
      <c r="N2397" s="92"/>
      <c r="O2397" s="92"/>
      <c r="P2397" s="92"/>
    </row>
    <row r="2398" spans="1:16" s="154" customFormat="1" ht="12">
      <c r="A2398" s="92"/>
      <c r="B2398" s="92"/>
      <c r="C2398" s="92"/>
      <c r="D2398" s="92"/>
      <c r="E2398" s="92"/>
      <c r="F2398" s="92"/>
      <c r="G2398" s="92"/>
      <c r="H2398" s="92"/>
      <c r="I2398" s="92"/>
      <c r="J2398" s="92"/>
      <c r="K2398" s="92"/>
      <c r="L2398" s="92"/>
      <c r="M2398" s="92"/>
      <c r="N2398" s="92"/>
      <c r="O2398" s="92"/>
      <c r="P2398" s="92"/>
    </row>
    <row r="2399" spans="1:16" s="154" customFormat="1" ht="12">
      <c r="A2399" s="92"/>
      <c r="B2399" s="92"/>
      <c r="C2399" s="92"/>
      <c r="D2399" s="92"/>
      <c r="E2399" s="92"/>
      <c r="F2399" s="92"/>
      <c r="G2399" s="92"/>
      <c r="H2399" s="92"/>
      <c r="I2399" s="92"/>
      <c r="J2399" s="92"/>
      <c r="K2399" s="92"/>
      <c r="L2399" s="92"/>
      <c r="M2399" s="92"/>
      <c r="N2399" s="92"/>
      <c r="O2399" s="92"/>
      <c r="P2399" s="92"/>
    </row>
    <row r="2400" spans="1:16" s="154" customFormat="1" ht="12">
      <c r="A2400" s="92"/>
      <c r="B2400" s="92"/>
      <c r="C2400" s="92"/>
      <c r="D2400" s="92"/>
      <c r="E2400" s="92"/>
      <c r="F2400" s="92"/>
      <c r="G2400" s="92"/>
      <c r="H2400" s="92"/>
      <c r="I2400" s="92"/>
      <c r="J2400" s="92"/>
      <c r="K2400" s="92"/>
      <c r="L2400" s="92"/>
      <c r="M2400" s="92"/>
      <c r="N2400" s="92"/>
      <c r="O2400" s="92"/>
      <c r="P2400" s="92"/>
    </row>
    <row r="2401" spans="1:16" s="154" customFormat="1" ht="12">
      <c r="A2401" s="92"/>
      <c r="B2401" s="92"/>
      <c r="C2401" s="92"/>
      <c r="D2401" s="92"/>
      <c r="E2401" s="92"/>
      <c r="F2401" s="92"/>
      <c r="G2401" s="92"/>
      <c r="H2401" s="92"/>
      <c r="I2401" s="92"/>
      <c r="J2401" s="92"/>
      <c r="K2401" s="92"/>
      <c r="L2401" s="92"/>
      <c r="M2401" s="92"/>
      <c r="N2401" s="92"/>
      <c r="O2401" s="92"/>
      <c r="P2401" s="92"/>
    </row>
    <row r="2402" spans="1:16" s="154" customFormat="1" ht="12">
      <c r="A2402" s="92"/>
      <c r="B2402" s="92"/>
      <c r="C2402" s="92"/>
      <c r="D2402" s="92"/>
      <c r="E2402" s="92"/>
      <c r="F2402" s="92"/>
      <c r="G2402" s="92"/>
      <c r="H2402" s="92"/>
      <c r="I2402" s="92"/>
      <c r="J2402" s="92"/>
      <c r="K2402" s="92"/>
      <c r="L2402" s="92"/>
      <c r="M2402" s="92"/>
      <c r="N2402" s="92"/>
      <c r="O2402" s="92"/>
      <c r="P2402" s="92"/>
    </row>
    <row r="2403" spans="1:16" s="154" customFormat="1" ht="12">
      <c r="A2403" s="92"/>
      <c r="B2403" s="92"/>
      <c r="C2403" s="92"/>
      <c r="D2403" s="92"/>
      <c r="E2403" s="92"/>
      <c r="F2403" s="92"/>
      <c r="G2403" s="92"/>
      <c r="H2403" s="92"/>
      <c r="I2403" s="92"/>
      <c r="J2403" s="92"/>
      <c r="K2403" s="92"/>
      <c r="L2403" s="92"/>
      <c r="M2403" s="92"/>
      <c r="N2403" s="92"/>
      <c r="O2403" s="92"/>
      <c r="P2403" s="92"/>
    </row>
    <row r="2404" spans="1:16" s="154" customFormat="1" ht="12">
      <c r="A2404" s="92"/>
      <c r="B2404" s="92"/>
      <c r="C2404" s="92"/>
      <c r="D2404" s="92"/>
      <c r="E2404" s="92"/>
      <c r="F2404" s="92"/>
      <c r="G2404" s="92"/>
      <c r="H2404" s="92"/>
      <c r="I2404" s="92"/>
      <c r="J2404" s="92"/>
      <c r="K2404" s="92"/>
      <c r="L2404" s="92"/>
      <c r="M2404" s="92"/>
      <c r="N2404" s="92"/>
      <c r="O2404" s="92"/>
      <c r="P2404" s="92"/>
    </row>
    <row r="2405" spans="1:16" s="154" customFormat="1" ht="12">
      <c r="A2405" s="92"/>
      <c r="B2405" s="92"/>
      <c r="C2405" s="92"/>
      <c r="D2405" s="92"/>
      <c r="E2405" s="92"/>
      <c r="F2405" s="92"/>
      <c r="G2405" s="92"/>
      <c r="H2405" s="92"/>
      <c r="I2405" s="92"/>
      <c r="J2405" s="92"/>
      <c r="K2405" s="92"/>
      <c r="L2405" s="92"/>
      <c r="M2405" s="92"/>
      <c r="N2405" s="92"/>
      <c r="O2405" s="92"/>
      <c r="P2405" s="92"/>
    </row>
    <row r="2406" spans="1:16" s="154" customFormat="1" ht="12">
      <c r="A2406" s="92"/>
      <c r="B2406" s="92"/>
      <c r="C2406" s="92"/>
      <c r="D2406" s="92"/>
      <c r="E2406" s="92"/>
      <c r="F2406" s="92"/>
      <c r="G2406" s="92"/>
      <c r="H2406" s="92"/>
      <c r="I2406" s="92"/>
      <c r="J2406" s="92"/>
      <c r="K2406" s="92"/>
      <c r="L2406" s="92"/>
      <c r="M2406" s="92"/>
      <c r="N2406" s="92"/>
      <c r="O2406" s="92"/>
      <c r="P2406" s="92"/>
    </row>
    <row r="2407" spans="1:16" s="154" customFormat="1" ht="12">
      <c r="A2407" s="92"/>
      <c r="B2407" s="92"/>
      <c r="C2407" s="92"/>
      <c r="D2407" s="92"/>
      <c r="E2407" s="92"/>
      <c r="F2407" s="92"/>
      <c r="G2407" s="92"/>
      <c r="H2407" s="92"/>
      <c r="I2407" s="92"/>
      <c r="J2407" s="92"/>
      <c r="K2407" s="92"/>
      <c r="L2407" s="92"/>
      <c r="M2407" s="92"/>
      <c r="N2407" s="92"/>
      <c r="O2407" s="92"/>
      <c r="P2407" s="92"/>
    </row>
    <row r="2408" spans="1:16" s="154" customFormat="1" ht="12">
      <c r="A2408" s="92"/>
      <c r="B2408" s="92"/>
      <c r="C2408" s="92"/>
      <c r="D2408" s="92"/>
      <c r="E2408" s="92"/>
      <c r="F2408" s="92"/>
      <c r="G2408" s="92"/>
      <c r="H2408" s="92"/>
      <c r="I2408" s="92"/>
      <c r="J2408" s="92"/>
      <c r="K2408" s="92"/>
      <c r="L2408" s="92"/>
      <c r="M2408" s="92"/>
      <c r="N2408" s="92"/>
      <c r="O2408" s="92"/>
      <c r="P2408" s="92"/>
    </row>
    <row r="2409" spans="1:16" s="154" customFormat="1" ht="12">
      <c r="A2409" s="92"/>
      <c r="B2409" s="92"/>
      <c r="C2409" s="92"/>
      <c r="D2409" s="92"/>
      <c r="E2409" s="92"/>
      <c r="F2409" s="92"/>
      <c r="G2409" s="92"/>
      <c r="H2409" s="92"/>
      <c r="I2409" s="92"/>
      <c r="J2409" s="92"/>
      <c r="K2409" s="92"/>
      <c r="L2409" s="92"/>
      <c r="M2409" s="92"/>
      <c r="N2409" s="92"/>
      <c r="O2409" s="92"/>
      <c r="P2409" s="92"/>
    </row>
    <row r="2410" spans="1:16" s="154" customFormat="1" ht="12">
      <c r="A2410" s="92"/>
      <c r="B2410" s="92"/>
      <c r="C2410" s="92"/>
      <c r="D2410" s="92"/>
      <c r="E2410" s="92"/>
      <c r="F2410" s="92"/>
      <c r="G2410" s="92"/>
      <c r="H2410" s="92"/>
      <c r="I2410" s="92"/>
      <c r="J2410" s="92"/>
      <c r="K2410" s="92"/>
      <c r="L2410" s="92"/>
      <c r="M2410" s="92"/>
      <c r="N2410" s="92"/>
      <c r="O2410" s="92"/>
      <c r="P2410" s="92"/>
    </row>
    <row r="2411" spans="1:16" s="154" customFormat="1" ht="12">
      <c r="A2411" s="92"/>
      <c r="B2411" s="92"/>
      <c r="C2411" s="92"/>
      <c r="D2411" s="92"/>
      <c r="E2411" s="92"/>
      <c r="F2411" s="92"/>
      <c r="G2411" s="92"/>
      <c r="H2411" s="92"/>
      <c r="I2411" s="92"/>
      <c r="J2411" s="92"/>
      <c r="K2411" s="92"/>
      <c r="L2411" s="92"/>
      <c r="M2411" s="92"/>
      <c r="N2411" s="92"/>
      <c r="O2411" s="92"/>
      <c r="P2411" s="92"/>
    </row>
    <row r="2412" spans="1:16" s="154" customFormat="1" ht="12">
      <c r="A2412" s="92"/>
      <c r="B2412" s="92"/>
      <c r="C2412" s="92"/>
      <c r="D2412" s="92"/>
      <c r="E2412" s="92"/>
      <c r="F2412" s="92"/>
      <c r="G2412" s="92"/>
      <c r="H2412" s="92"/>
      <c r="I2412" s="92"/>
      <c r="J2412" s="92"/>
      <c r="K2412" s="92"/>
      <c r="L2412" s="92"/>
      <c r="M2412" s="92"/>
      <c r="N2412" s="92"/>
      <c r="O2412" s="92"/>
      <c r="P2412" s="92"/>
    </row>
    <row r="2413" spans="1:16" s="154" customFormat="1" ht="12">
      <c r="A2413" s="92"/>
      <c r="B2413" s="92"/>
      <c r="C2413" s="92"/>
      <c r="D2413" s="92"/>
      <c r="E2413" s="92"/>
      <c r="F2413" s="92"/>
      <c r="G2413" s="92"/>
      <c r="H2413" s="92"/>
      <c r="I2413" s="92"/>
      <c r="J2413" s="92"/>
      <c r="K2413" s="92"/>
      <c r="L2413" s="92"/>
      <c r="M2413" s="92"/>
      <c r="N2413" s="92"/>
      <c r="O2413" s="92"/>
      <c r="P2413" s="92"/>
    </row>
    <row r="2414" spans="1:16" s="154" customFormat="1" ht="12">
      <c r="A2414" s="92"/>
      <c r="B2414" s="92"/>
      <c r="C2414" s="92"/>
      <c r="D2414" s="92"/>
      <c r="E2414" s="92"/>
      <c r="F2414" s="92"/>
      <c r="G2414" s="92"/>
      <c r="H2414" s="92"/>
      <c r="I2414" s="92"/>
      <c r="J2414" s="92"/>
      <c r="K2414" s="92"/>
      <c r="L2414" s="92"/>
      <c r="M2414" s="92"/>
      <c r="N2414" s="92"/>
      <c r="O2414" s="92"/>
      <c r="P2414" s="92"/>
    </row>
    <row r="2415" spans="1:16" s="154" customFormat="1" ht="12">
      <c r="A2415" s="92"/>
      <c r="B2415" s="92"/>
      <c r="C2415" s="92"/>
      <c r="D2415" s="92"/>
      <c r="E2415" s="92"/>
      <c r="F2415" s="92"/>
      <c r="G2415" s="92"/>
      <c r="H2415" s="92"/>
      <c r="I2415" s="92"/>
      <c r="J2415" s="92"/>
      <c r="K2415" s="92"/>
      <c r="L2415" s="92"/>
      <c r="M2415" s="92"/>
      <c r="N2415" s="92"/>
      <c r="O2415" s="92"/>
      <c r="P2415" s="92"/>
    </row>
    <row r="2416" spans="1:16" s="154" customFormat="1" ht="12">
      <c r="A2416" s="92"/>
      <c r="B2416" s="92"/>
      <c r="C2416" s="92"/>
      <c r="D2416" s="92"/>
      <c r="E2416" s="92"/>
      <c r="F2416" s="92"/>
      <c r="G2416" s="92"/>
      <c r="H2416" s="92"/>
      <c r="I2416" s="92"/>
      <c r="J2416" s="92"/>
      <c r="K2416" s="92"/>
      <c r="L2416" s="92"/>
      <c r="M2416" s="92"/>
      <c r="N2416" s="92"/>
      <c r="O2416" s="92"/>
      <c r="P2416" s="92"/>
    </row>
    <row r="2417" spans="1:16" s="154" customFormat="1" ht="12">
      <c r="A2417" s="92"/>
      <c r="B2417" s="92"/>
      <c r="C2417" s="92"/>
      <c r="D2417" s="92"/>
      <c r="E2417" s="92"/>
      <c r="F2417" s="92"/>
      <c r="G2417" s="92"/>
      <c r="H2417" s="92"/>
      <c r="I2417" s="92"/>
      <c r="J2417" s="92"/>
      <c r="K2417" s="92"/>
      <c r="L2417" s="92"/>
      <c r="M2417" s="92"/>
      <c r="N2417" s="92"/>
      <c r="O2417" s="92"/>
      <c r="P2417" s="92"/>
    </row>
    <row r="2418" spans="1:16" s="154" customFormat="1" ht="12">
      <c r="A2418" s="92"/>
      <c r="B2418" s="92"/>
      <c r="C2418" s="92"/>
      <c r="D2418" s="92"/>
      <c r="E2418" s="92"/>
      <c r="F2418" s="92"/>
      <c r="G2418" s="92"/>
      <c r="H2418" s="92"/>
      <c r="I2418" s="92"/>
      <c r="J2418" s="92"/>
      <c r="K2418" s="92"/>
      <c r="L2418" s="92"/>
      <c r="M2418" s="92"/>
      <c r="N2418" s="92"/>
      <c r="O2418" s="92"/>
      <c r="P2418" s="92"/>
    </row>
    <row r="2419" spans="1:16" s="154" customFormat="1" ht="12">
      <c r="A2419" s="92"/>
      <c r="B2419" s="92"/>
      <c r="C2419" s="92"/>
      <c r="D2419" s="92"/>
      <c r="E2419" s="92"/>
      <c r="F2419" s="92"/>
      <c r="G2419" s="92"/>
      <c r="H2419" s="92"/>
      <c r="I2419" s="92"/>
      <c r="J2419" s="92"/>
      <c r="K2419" s="92"/>
      <c r="L2419" s="92"/>
      <c r="M2419" s="92"/>
      <c r="N2419" s="92"/>
      <c r="O2419" s="92"/>
      <c r="P2419" s="92"/>
    </row>
    <row r="2420" spans="1:16" s="154" customFormat="1" ht="12">
      <c r="A2420" s="92"/>
      <c r="B2420" s="92"/>
      <c r="C2420" s="92"/>
      <c r="D2420" s="92"/>
      <c r="E2420" s="92"/>
      <c r="F2420" s="92"/>
      <c r="G2420" s="92"/>
      <c r="H2420" s="92"/>
      <c r="I2420" s="92"/>
      <c r="J2420" s="92"/>
      <c r="K2420" s="92"/>
      <c r="L2420" s="92"/>
      <c r="M2420" s="92"/>
      <c r="N2420" s="92"/>
      <c r="O2420" s="92"/>
      <c r="P2420" s="92"/>
    </row>
    <row r="2421" spans="1:16" s="154" customFormat="1" ht="12">
      <c r="A2421" s="92"/>
      <c r="B2421" s="92"/>
      <c r="C2421" s="92"/>
      <c r="D2421" s="92"/>
      <c r="E2421" s="92"/>
      <c r="F2421" s="92"/>
      <c r="G2421" s="92"/>
      <c r="H2421" s="92"/>
      <c r="I2421" s="92"/>
      <c r="J2421" s="92"/>
      <c r="K2421" s="92"/>
      <c r="L2421" s="92"/>
      <c r="M2421" s="92"/>
      <c r="N2421" s="92"/>
      <c r="O2421" s="92"/>
      <c r="P2421" s="92"/>
    </row>
    <row r="2422" spans="1:16" s="154" customFormat="1" ht="12">
      <c r="A2422" s="92"/>
      <c r="B2422" s="92"/>
      <c r="C2422" s="92"/>
      <c r="D2422" s="92"/>
      <c r="E2422" s="92"/>
      <c r="F2422" s="92"/>
      <c r="G2422" s="92"/>
      <c r="H2422" s="92"/>
      <c r="I2422" s="92"/>
      <c r="J2422" s="92"/>
      <c r="K2422" s="92"/>
      <c r="L2422" s="92"/>
      <c r="M2422" s="92"/>
      <c r="N2422" s="92"/>
      <c r="O2422" s="92"/>
      <c r="P2422" s="92"/>
    </row>
    <row r="2423" spans="1:16" s="154" customFormat="1" ht="12">
      <c r="A2423" s="92"/>
      <c r="B2423" s="92"/>
      <c r="C2423" s="92"/>
      <c r="D2423" s="92"/>
      <c r="E2423" s="92"/>
      <c r="F2423" s="92"/>
      <c r="G2423" s="92"/>
      <c r="H2423" s="92"/>
      <c r="I2423" s="92"/>
      <c r="J2423" s="92"/>
      <c r="K2423" s="92"/>
      <c r="L2423" s="92"/>
      <c r="M2423" s="92"/>
      <c r="N2423" s="92"/>
      <c r="O2423" s="92"/>
      <c r="P2423" s="92"/>
    </row>
    <row r="2424" spans="1:16" s="154" customFormat="1" ht="12">
      <c r="A2424" s="92"/>
      <c r="B2424" s="92"/>
      <c r="C2424" s="92"/>
      <c r="D2424" s="92"/>
      <c r="E2424" s="92"/>
      <c r="F2424" s="92"/>
      <c r="G2424" s="92"/>
      <c r="H2424" s="92"/>
      <c r="I2424" s="92"/>
      <c r="J2424" s="92"/>
      <c r="K2424" s="92"/>
      <c r="L2424" s="92"/>
      <c r="M2424" s="92"/>
      <c r="N2424" s="92"/>
      <c r="O2424" s="92"/>
      <c r="P2424" s="92"/>
    </row>
    <row r="2425" spans="1:16" s="154" customFormat="1" ht="12">
      <c r="A2425" s="92"/>
      <c r="B2425" s="92"/>
      <c r="C2425" s="92"/>
      <c r="D2425" s="92"/>
      <c r="E2425" s="92"/>
      <c r="F2425" s="92"/>
      <c r="G2425" s="92"/>
      <c r="H2425" s="92"/>
      <c r="I2425" s="92"/>
      <c r="J2425" s="92"/>
      <c r="K2425" s="92"/>
      <c r="L2425" s="92"/>
      <c r="M2425" s="92"/>
      <c r="N2425" s="92"/>
      <c r="O2425" s="92"/>
      <c r="P2425" s="92"/>
    </row>
    <row r="2426" spans="1:16" s="154" customFormat="1" ht="12">
      <c r="A2426" s="92"/>
      <c r="B2426" s="92"/>
      <c r="C2426" s="92"/>
      <c r="D2426" s="92"/>
      <c r="E2426" s="92"/>
      <c r="F2426" s="92"/>
      <c r="G2426" s="92"/>
      <c r="H2426" s="92"/>
      <c r="I2426" s="92"/>
      <c r="J2426" s="92"/>
      <c r="K2426" s="92"/>
      <c r="L2426" s="92"/>
      <c r="M2426" s="92"/>
      <c r="N2426" s="92"/>
      <c r="O2426" s="92"/>
      <c r="P2426" s="92"/>
    </row>
    <row r="2427" spans="1:16" s="154" customFormat="1" ht="12">
      <c r="A2427" s="92"/>
      <c r="B2427" s="92"/>
      <c r="C2427" s="92"/>
      <c r="D2427" s="92"/>
      <c r="E2427" s="92"/>
      <c r="F2427" s="92"/>
      <c r="G2427" s="92"/>
      <c r="H2427" s="92"/>
      <c r="I2427" s="92"/>
      <c r="J2427" s="92"/>
      <c r="K2427" s="92"/>
      <c r="L2427" s="92"/>
      <c r="M2427" s="92"/>
      <c r="N2427" s="92"/>
      <c r="O2427" s="92"/>
      <c r="P2427" s="92"/>
    </row>
    <row r="2428" spans="1:16" s="154" customFormat="1" ht="12">
      <c r="A2428" s="92"/>
      <c r="B2428" s="92"/>
      <c r="C2428" s="92"/>
      <c r="D2428" s="92"/>
      <c r="E2428" s="92"/>
      <c r="F2428" s="92"/>
      <c r="G2428" s="92"/>
      <c r="H2428" s="92"/>
      <c r="I2428" s="92"/>
      <c r="J2428" s="92"/>
      <c r="K2428" s="92"/>
      <c r="L2428" s="92"/>
      <c r="M2428" s="92"/>
      <c r="N2428" s="92"/>
      <c r="O2428" s="92"/>
      <c r="P2428" s="92"/>
    </row>
    <row r="2429" spans="1:16" s="154" customFormat="1" ht="12">
      <c r="A2429" s="92"/>
      <c r="B2429" s="92"/>
      <c r="C2429" s="92"/>
      <c r="D2429" s="92"/>
      <c r="E2429" s="92"/>
      <c r="F2429" s="92"/>
      <c r="G2429" s="92"/>
      <c r="H2429" s="92"/>
      <c r="I2429" s="92"/>
      <c r="J2429" s="92"/>
      <c r="K2429" s="92"/>
      <c r="L2429" s="92"/>
      <c r="M2429" s="92"/>
      <c r="N2429" s="92"/>
      <c r="O2429" s="92"/>
      <c r="P2429" s="92"/>
    </row>
    <row r="2430" spans="1:16" s="154" customFormat="1" ht="12">
      <c r="A2430" s="92"/>
      <c r="B2430" s="92"/>
      <c r="C2430" s="92"/>
      <c r="D2430" s="92"/>
      <c r="E2430" s="92"/>
      <c r="F2430" s="92"/>
      <c r="G2430" s="92"/>
      <c r="H2430" s="92"/>
      <c r="I2430" s="92"/>
      <c r="J2430" s="92"/>
      <c r="K2430" s="92"/>
      <c r="L2430" s="92"/>
      <c r="M2430" s="92"/>
      <c r="N2430" s="92"/>
      <c r="O2430" s="92"/>
      <c r="P2430" s="92"/>
    </row>
    <row r="2431" spans="1:16" s="154" customFormat="1" ht="12">
      <c r="A2431" s="92"/>
      <c r="B2431" s="92"/>
      <c r="C2431" s="92"/>
      <c r="D2431" s="92"/>
      <c r="E2431" s="92"/>
      <c r="F2431" s="92"/>
      <c r="G2431" s="92"/>
      <c r="H2431" s="92"/>
      <c r="I2431" s="92"/>
      <c r="J2431" s="92"/>
      <c r="K2431" s="92"/>
      <c r="L2431" s="92"/>
      <c r="M2431" s="92"/>
      <c r="N2431" s="92"/>
      <c r="O2431" s="92"/>
      <c r="P2431" s="92"/>
    </row>
    <row r="2432" spans="1:16" s="154" customFormat="1" ht="12">
      <c r="A2432" s="92"/>
      <c r="B2432" s="92"/>
      <c r="C2432" s="92"/>
      <c r="D2432" s="92"/>
      <c r="E2432" s="92"/>
      <c r="F2432" s="92"/>
      <c r="G2432" s="92"/>
      <c r="H2432" s="92"/>
      <c r="I2432" s="92"/>
      <c r="J2432" s="92"/>
      <c r="K2432" s="92"/>
      <c r="L2432" s="92"/>
      <c r="M2432" s="92"/>
      <c r="N2432" s="92"/>
      <c r="O2432" s="92"/>
      <c r="P2432" s="92"/>
    </row>
    <row r="2433" spans="1:16" s="154" customFormat="1" ht="12">
      <c r="A2433" s="92"/>
      <c r="B2433" s="92"/>
      <c r="C2433" s="92"/>
      <c r="D2433" s="92"/>
      <c r="E2433" s="92"/>
      <c r="F2433" s="92"/>
      <c r="G2433" s="92"/>
      <c r="H2433" s="92"/>
      <c r="I2433" s="92"/>
      <c r="J2433" s="92"/>
      <c r="K2433" s="92"/>
      <c r="L2433" s="92"/>
      <c r="M2433" s="92"/>
      <c r="N2433" s="92"/>
      <c r="O2433" s="92"/>
      <c r="P2433" s="92"/>
    </row>
    <row r="2434" spans="1:16" s="154" customFormat="1" ht="12">
      <c r="A2434" s="92"/>
      <c r="B2434" s="92"/>
      <c r="C2434" s="92"/>
      <c r="D2434" s="92"/>
      <c r="E2434" s="92"/>
      <c r="F2434" s="92"/>
      <c r="G2434" s="92"/>
      <c r="H2434" s="92"/>
      <c r="I2434" s="92"/>
      <c r="J2434" s="92"/>
      <c r="K2434" s="92"/>
      <c r="L2434" s="92"/>
      <c r="M2434" s="92"/>
      <c r="N2434" s="92"/>
      <c r="O2434" s="92"/>
      <c r="P2434" s="92"/>
    </row>
    <row r="2435" spans="1:16" s="154" customFormat="1" ht="12">
      <c r="A2435" s="92"/>
      <c r="B2435" s="92"/>
      <c r="C2435" s="92"/>
      <c r="D2435" s="92"/>
      <c r="E2435" s="92"/>
      <c r="F2435" s="92"/>
      <c r="G2435" s="92"/>
      <c r="H2435" s="92"/>
      <c r="I2435" s="92"/>
      <c r="J2435" s="92"/>
      <c r="K2435" s="92"/>
      <c r="L2435" s="92"/>
      <c r="M2435" s="92"/>
      <c r="N2435" s="92"/>
      <c r="O2435" s="92"/>
      <c r="P2435" s="92"/>
    </row>
    <row r="2436" spans="1:16" s="154" customFormat="1" ht="12">
      <c r="A2436" s="92"/>
      <c r="B2436" s="92"/>
      <c r="C2436" s="92"/>
      <c r="D2436" s="92"/>
      <c r="E2436" s="92"/>
      <c r="F2436" s="92"/>
      <c r="G2436" s="92"/>
      <c r="H2436" s="92"/>
      <c r="I2436" s="92"/>
      <c r="J2436" s="92"/>
      <c r="K2436" s="92"/>
      <c r="L2436" s="92"/>
      <c r="M2436" s="92"/>
      <c r="N2436" s="92"/>
      <c r="O2436" s="92"/>
      <c r="P2436" s="92"/>
    </row>
    <row r="2437" spans="1:16" s="154" customFormat="1" ht="12">
      <c r="A2437" s="92"/>
      <c r="B2437" s="92"/>
      <c r="C2437" s="92"/>
      <c r="D2437" s="92"/>
      <c r="E2437" s="92"/>
      <c r="F2437" s="92"/>
      <c r="G2437" s="92"/>
      <c r="H2437" s="92"/>
      <c r="I2437" s="92"/>
      <c r="J2437" s="92"/>
      <c r="K2437" s="92"/>
      <c r="L2437" s="92"/>
      <c r="M2437" s="92"/>
      <c r="N2437" s="92"/>
      <c r="O2437" s="92"/>
      <c r="P2437" s="92"/>
    </row>
    <row r="2438" spans="1:16" s="154" customFormat="1" ht="12">
      <c r="A2438" s="92"/>
      <c r="B2438" s="92"/>
      <c r="C2438" s="92"/>
      <c r="D2438" s="92"/>
      <c r="E2438" s="92"/>
      <c r="F2438" s="92"/>
      <c r="G2438" s="92"/>
      <c r="H2438" s="92"/>
      <c r="I2438" s="92"/>
      <c r="J2438" s="92"/>
      <c r="K2438" s="92"/>
      <c r="L2438" s="92"/>
      <c r="M2438" s="92"/>
      <c r="N2438" s="92"/>
      <c r="O2438" s="92"/>
      <c r="P2438" s="92"/>
    </row>
    <row r="2439" spans="1:16" s="154" customFormat="1" ht="12">
      <c r="A2439" s="92"/>
      <c r="B2439" s="92"/>
      <c r="C2439" s="92"/>
      <c r="D2439" s="92"/>
      <c r="E2439" s="92"/>
      <c r="F2439" s="92"/>
      <c r="G2439" s="92"/>
      <c r="H2439" s="92"/>
      <c r="I2439" s="92"/>
      <c r="J2439" s="92"/>
      <c r="K2439" s="92"/>
      <c r="L2439" s="92"/>
      <c r="M2439" s="92"/>
      <c r="N2439" s="92"/>
      <c r="O2439" s="92"/>
      <c r="P2439" s="92"/>
    </row>
    <row r="2440" spans="1:16" s="154" customFormat="1" ht="12">
      <c r="A2440" s="92"/>
      <c r="B2440" s="92"/>
      <c r="C2440" s="92"/>
      <c r="D2440" s="92"/>
      <c r="E2440" s="92"/>
      <c r="F2440" s="92"/>
      <c r="G2440" s="92"/>
      <c r="H2440" s="92"/>
      <c r="I2440" s="92"/>
      <c r="J2440" s="92"/>
      <c r="K2440" s="92"/>
      <c r="L2440" s="92"/>
      <c r="M2440" s="92"/>
      <c r="N2440" s="92"/>
      <c r="O2440" s="92"/>
      <c r="P2440" s="92"/>
    </row>
    <row r="2441" spans="1:16" s="154" customFormat="1" ht="12">
      <c r="A2441" s="92"/>
      <c r="B2441" s="92"/>
      <c r="C2441" s="92"/>
      <c r="D2441" s="92"/>
      <c r="E2441" s="92"/>
      <c r="F2441" s="92"/>
      <c r="G2441" s="92"/>
      <c r="H2441" s="92"/>
      <c r="I2441" s="92"/>
      <c r="J2441" s="92"/>
      <c r="K2441" s="92"/>
      <c r="L2441" s="92"/>
      <c r="M2441" s="92"/>
      <c r="N2441" s="92"/>
      <c r="O2441" s="92"/>
      <c r="P2441" s="92"/>
    </row>
    <row r="2442" spans="1:16" s="154" customFormat="1" ht="12">
      <c r="A2442" s="92"/>
      <c r="B2442" s="92"/>
      <c r="C2442" s="92"/>
      <c r="D2442" s="92"/>
      <c r="E2442" s="92"/>
      <c r="F2442" s="92"/>
      <c r="G2442" s="92"/>
      <c r="H2442" s="92"/>
      <c r="I2442" s="92"/>
      <c r="J2442" s="92"/>
      <c r="K2442" s="92"/>
      <c r="L2442" s="92"/>
      <c r="M2442" s="92"/>
      <c r="N2442" s="92"/>
      <c r="O2442" s="92"/>
      <c r="P2442" s="92"/>
    </row>
    <row r="2443" spans="1:16" s="154" customFormat="1" ht="12">
      <c r="A2443" s="92"/>
      <c r="B2443" s="92"/>
      <c r="C2443" s="92"/>
      <c r="D2443" s="92"/>
      <c r="E2443" s="92"/>
      <c r="F2443" s="92"/>
      <c r="G2443" s="92"/>
      <c r="H2443" s="92"/>
      <c r="I2443" s="92"/>
      <c r="J2443" s="92"/>
      <c r="K2443" s="92"/>
      <c r="L2443" s="92"/>
      <c r="M2443" s="92"/>
      <c r="N2443" s="92"/>
      <c r="O2443" s="92"/>
      <c r="P2443" s="92"/>
    </row>
    <row r="2444" spans="1:16" s="154" customFormat="1" ht="12">
      <c r="A2444" s="92"/>
      <c r="B2444" s="92"/>
      <c r="C2444" s="92"/>
      <c r="D2444" s="92"/>
      <c r="E2444" s="92"/>
      <c r="F2444" s="92"/>
      <c r="G2444" s="92"/>
      <c r="H2444" s="92"/>
      <c r="I2444" s="92"/>
      <c r="J2444" s="92"/>
      <c r="K2444" s="92"/>
      <c r="L2444" s="92"/>
      <c r="M2444" s="92"/>
      <c r="N2444" s="92"/>
      <c r="O2444" s="92"/>
      <c r="P2444" s="92"/>
    </row>
    <row r="2445" spans="1:16" s="154" customFormat="1" ht="12">
      <c r="A2445" s="92"/>
      <c r="B2445" s="92"/>
      <c r="C2445" s="92"/>
      <c r="D2445" s="92"/>
      <c r="E2445" s="92"/>
      <c r="F2445" s="92"/>
      <c r="G2445" s="92"/>
      <c r="H2445" s="92"/>
      <c r="I2445" s="92"/>
      <c r="J2445" s="92"/>
      <c r="K2445" s="92"/>
      <c r="L2445" s="92"/>
      <c r="M2445" s="92"/>
      <c r="N2445" s="92"/>
      <c r="O2445" s="92"/>
      <c r="P2445" s="92"/>
    </row>
    <row r="2446" spans="1:16" s="154" customFormat="1" ht="12">
      <c r="A2446" s="92"/>
      <c r="B2446" s="92"/>
      <c r="C2446" s="92"/>
      <c r="D2446" s="92"/>
      <c r="E2446" s="92"/>
      <c r="F2446" s="92"/>
      <c r="G2446" s="92"/>
      <c r="H2446" s="92"/>
      <c r="I2446" s="92"/>
      <c r="J2446" s="92"/>
      <c r="K2446" s="92"/>
      <c r="L2446" s="92"/>
      <c r="M2446" s="92"/>
      <c r="N2446" s="92"/>
      <c r="O2446" s="92"/>
      <c r="P2446" s="92"/>
    </row>
    <row r="2447" spans="1:16" s="154" customFormat="1" ht="12">
      <c r="A2447" s="92"/>
      <c r="B2447" s="92"/>
      <c r="C2447" s="92"/>
      <c r="D2447" s="92"/>
      <c r="E2447" s="92"/>
      <c r="F2447" s="92"/>
      <c r="G2447" s="92"/>
      <c r="H2447" s="92"/>
      <c r="I2447" s="92"/>
      <c r="J2447" s="92"/>
      <c r="K2447" s="92"/>
      <c r="L2447" s="92"/>
      <c r="M2447" s="92"/>
      <c r="N2447" s="92"/>
      <c r="O2447" s="92"/>
      <c r="P2447" s="92"/>
    </row>
    <row r="2448" spans="1:16" s="154" customFormat="1" ht="12">
      <c r="A2448" s="92"/>
      <c r="B2448" s="92"/>
      <c r="C2448" s="92"/>
      <c r="D2448" s="92"/>
      <c r="E2448" s="92"/>
      <c r="F2448" s="92"/>
      <c r="G2448" s="92"/>
      <c r="H2448" s="92"/>
      <c r="I2448" s="92"/>
      <c r="J2448" s="92"/>
      <c r="K2448" s="92"/>
      <c r="L2448" s="92"/>
      <c r="M2448" s="92"/>
      <c r="N2448" s="92"/>
      <c r="O2448" s="92"/>
      <c r="P2448" s="92"/>
    </row>
    <row r="2449" spans="1:16" s="154" customFormat="1" ht="12">
      <c r="A2449" s="92"/>
      <c r="B2449" s="92"/>
      <c r="C2449" s="92"/>
      <c r="D2449" s="92"/>
      <c r="E2449" s="92"/>
      <c r="F2449" s="92"/>
      <c r="G2449" s="92"/>
      <c r="H2449" s="92"/>
      <c r="I2449" s="92"/>
      <c r="J2449" s="92"/>
      <c r="K2449" s="92"/>
      <c r="L2449" s="92"/>
      <c r="M2449" s="92"/>
      <c r="N2449" s="92"/>
      <c r="O2449" s="92"/>
      <c r="P2449" s="92"/>
    </row>
    <row r="2450" spans="1:16" s="154" customFormat="1" ht="12">
      <c r="A2450" s="92"/>
      <c r="B2450" s="92"/>
      <c r="C2450" s="92"/>
      <c r="D2450" s="92"/>
      <c r="E2450" s="92"/>
      <c r="F2450" s="92"/>
      <c r="G2450" s="92"/>
      <c r="H2450" s="92"/>
      <c r="I2450" s="92"/>
      <c r="J2450" s="92"/>
      <c r="K2450" s="92"/>
      <c r="L2450" s="92"/>
      <c r="M2450" s="92"/>
      <c r="N2450" s="92"/>
      <c r="O2450" s="92"/>
      <c r="P2450" s="92"/>
    </row>
    <row r="2451" spans="1:16" s="154" customFormat="1" ht="12">
      <c r="A2451" s="92"/>
      <c r="B2451" s="92"/>
      <c r="C2451" s="92"/>
      <c r="D2451" s="92"/>
      <c r="E2451" s="92"/>
      <c r="F2451" s="92"/>
      <c r="G2451" s="92"/>
      <c r="H2451" s="92"/>
      <c r="I2451" s="92"/>
      <c r="J2451" s="92"/>
      <c r="K2451" s="92"/>
      <c r="L2451" s="92"/>
      <c r="M2451" s="92"/>
      <c r="N2451" s="92"/>
      <c r="O2451" s="92"/>
      <c r="P2451" s="92"/>
    </row>
    <row r="2452" spans="1:16" s="154" customFormat="1" ht="12">
      <c r="A2452" s="92"/>
      <c r="B2452" s="92"/>
      <c r="C2452" s="92"/>
      <c r="D2452" s="92"/>
      <c r="E2452" s="92"/>
      <c r="F2452" s="92"/>
      <c r="G2452" s="92"/>
      <c r="H2452" s="92"/>
      <c r="I2452" s="92"/>
      <c r="J2452" s="92"/>
      <c r="K2452" s="92"/>
      <c r="L2452" s="92"/>
      <c r="M2452" s="92"/>
      <c r="N2452" s="92"/>
      <c r="O2452" s="92"/>
      <c r="P2452" s="92"/>
    </row>
    <row r="2453" spans="1:16" s="154" customFormat="1" ht="12">
      <c r="A2453" s="92"/>
      <c r="B2453" s="92"/>
      <c r="C2453" s="92"/>
      <c r="D2453" s="92"/>
      <c r="E2453" s="92"/>
      <c r="F2453" s="92"/>
      <c r="G2453" s="92"/>
      <c r="H2453" s="92"/>
      <c r="I2453" s="92"/>
      <c r="J2453" s="92"/>
      <c r="K2453" s="92"/>
      <c r="L2453" s="92"/>
      <c r="M2453" s="92"/>
      <c r="N2453" s="92"/>
      <c r="O2453" s="92"/>
      <c r="P2453" s="92"/>
    </row>
    <row r="2454" spans="1:16" s="154" customFormat="1" ht="12">
      <c r="A2454" s="92"/>
      <c r="B2454" s="92"/>
      <c r="C2454" s="92"/>
      <c r="D2454" s="92"/>
      <c r="E2454" s="92"/>
      <c r="F2454" s="92"/>
      <c r="G2454" s="92"/>
      <c r="H2454" s="92"/>
      <c r="I2454" s="92"/>
      <c r="J2454" s="92"/>
      <c r="K2454" s="92"/>
      <c r="L2454" s="92"/>
      <c r="M2454" s="92"/>
      <c r="N2454" s="92"/>
      <c r="O2454" s="92"/>
      <c r="P2454" s="92"/>
    </row>
    <row r="2455" spans="1:16" s="154" customFormat="1" ht="12">
      <c r="A2455" s="92"/>
      <c r="B2455" s="92"/>
      <c r="C2455" s="92"/>
      <c r="D2455" s="92"/>
      <c r="E2455" s="92"/>
      <c r="F2455" s="92"/>
      <c r="G2455" s="92"/>
      <c r="H2455" s="92"/>
      <c r="I2455" s="92"/>
      <c r="J2455" s="92"/>
      <c r="K2455" s="92"/>
      <c r="L2455" s="92"/>
      <c r="M2455" s="92"/>
      <c r="N2455" s="92"/>
      <c r="O2455" s="92"/>
      <c r="P2455" s="92"/>
    </row>
    <row r="2456" spans="1:16" s="154" customFormat="1" ht="12">
      <c r="A2456" s="92"/>
      <c r="B2456" s="92"/>
      <c r="C2456" s="92"/>
      <c r="D2456" s="92"/>
      <c r="E2456" s="92"/>
      <c r="F2456" s="92"/>
      <c r="G2456" s="92"/>
      <c r="H2456" s="92"/>
      <c r="I2456" s="92"/>
      <c r="J2456" s="92"/>
      <c r="K2456" s="92"/>
      <c r="L2456" s="92"/>
      <c r="M2456" s="92"/>
      <c r="N2456" s="92"/>
      <c r="O2456" s="92"/>
      <c r="P2456" s="92"/>
    </row>
    <row r="2457" spans="1:16" s="154" customFormat="1" ht="12">
      <c r="A2457" s="92"/>
      <c r="B2457" s="92"/>
      <c r="C2457" s="92"/>
      <c r="D2457" s="92"/>
      <c r="E2457" s="92"/>
      <c r="F2457" s="92"/>
      <c r="G2457" s="92"/>
      <c r="H2457" s="92"/>
      <c r="I2457" s="92"/>
      <c r="J2457" s="92"/>
      <c r="K2457" s="92"/>
      <c r="L2457" s="92"/>
      <c r="M2457" s="92"/>
      <c r="N2457" s="92"/>
      <c r="O2457" s="92"/>
      <c r="P2457" s="92"/>
    </row>
    <row r="2458" spans="1:16" s="154" customFormat="1" ht="12">
      <c r="A2458" s="92"/>
      <c r="B2458" s="92"/>
      <c r="C2458" s="92"/>
      <c r="D2458" s="92"/>
      <c r="E2458" s="92"/>
      <c r="F2458" s="92"/>
      <c r="G2458" s="92"/>
      <c r="H2458" s="92"/>
      <c r="I2458" s="92"/>
      <c r="J2458" s="92"/>
      <c r="K2458" s="92"/>
      <c r="L2458" s="92"/>
      <c r="M2458" s="92"/>
      <c r="N2458" s="92"/>
      <c r="O2458" s="92"/>
      <c r="P2458" s="92"/>
    </row>
    <row r="2459" spans="1:16" s="154" customFormat="1" ht="12">
      <c r="A2459" s="92"/>
      <c r="B2459" s="92"/>
      <c r="C2459" s="92"/>
      <c r="D2459" s="92"/>
      <c r="E2459" s="92"/>
      <c r="F2459" s="92"/>
      <c r="G2459" s="92"/>
      <c r="H2459" s="92"/>
      <c r="I2459" s="92"/>
      <c r="J2459" s="92"/>
      <c r="K2459" s="92"/>
      <c r="L2459" s="92"/>
      <c r="M2459" s="92"/>
      <c r="N2459" s="92"/>
      <c r="O2459" s="92"/>
      <c r="P2459" s="92"/>
    </row>
    <row r="2460" spans="1:16" s="154" customFormat="1" ht="12">
      <c r="A2460" s="92"/>
      <c r="B2460" s="92"/>
      <c r="C2460" s="92"/>
      <c r="D2460" s="92"/>
      <c r="E2460" s="92"/>
      <c r="F2460" s="92"/>
      <c r="G2460" s="92"/>
      <c r="H2460" s="92"/>
      <c r="I2460" s="92"/>
      <c r="J2460" s="92"/>
      <c r="K2460" s="92"/>
      <c r="L2460" s="92"/>
      <c r="M2460" s="92"/>
      <c r="N2460" s="92"/>
      <c r="O2460" s="92"/>
      <c r="P2460" s="92"/>
    </row>
    <row r="2461" spans="1:16" s="154" customFormat="1" ht="12">
      <c r="A2461" s="92"/>
      <c r="B2461" s="92"/>
      <c r="C2461" s="92"/>
      <c r="D2461" s="92"/>
      <c r="E2461" s="92"/>
      <c r="F2461" s="92"/>
      <c r="G2461" s="92"/>
      <c r="H2461" s="92"/>
      <c r="I2461" s="92"/>
      <c r="J2461" s="92"/>
      <c r="K2461" s="92"/>
      <c r="L2461" s="92"/>
      <c r="M2461" s="92"/>
      <c r="N2461" s="92"/>
      <c r="O2461" s="92"/>
      <c r="P2461" s="92"/>
    </row>
    <row r="2462" spans="1:16" s="154" customFormat="1" ht="12">
      <c r="A2462" s="92"/>
      <c r="B2462" s="92"/>
      <c r="C2462" s="92"/>
      <c r="D2462" s="92"/>
      <c r="E2462" s="92"/>
      <c r="F2462" s="92"/>
      <c r="G2462" s="92"/>
      <c r="H2462" s="92"/>
      <c r="I2462" s="92"/>
      <c r="J2462" s="92"/>
      <c r="K2462" s="92"/>
      <c r="L2462" s="92"/>
      <c r="M2462" s="92"/>
      <c r="N2462" s="92"/>
      <c r="O2462" s="92"/>
      <c r="P2462" s="92"/>
    </row>
    <row r="2463" spans="1:16" s="154" customFormat="1" ht="12">
      <c r="A2463" s="92"/>
      <c r="B2463" s="92"/>
      <c r="C2463" s="92"/>
      <c r="D2463" s="92"/>
      <c r="E2463" s="92"/>
      <c r="F2463" s="92"/>
      <c r="G2463" s="92"/>
      <c r="H2463" s="92"/>
      <c r="I2463" s="92"/>
      <c r="J2463" s="92"/>
      <c r="K2463" s="92"/>
      <c r="L2463" s="92"/>
      <c r="M2463" s="92"/>
      <c r="N2463" s="92"/>
      <c r="O2463" s="92"/>
      <c r="P2463" s="92"/>
    </row>
    <row r="2464" spans="1:16" s="154" customFormat="1" ht="12">
      <c r="A2464" s="92"/>
      <c r="B2464" s="92"/>
      <c r="C2464" s="92"/>
      <c r="D2464" s="92"/>
      <c r="E2464" s="92"/>
      <c r="F2464" s="92"/>
      <c r="G2464" s="92"/>
      <c r="H2464" s="92"/>
      <c r="I2464" s="92"/>
      <c r="J2464" s="92"/>
      <c r="K2464" s="92"/>
      <c r="L2464" s="92"/>
      <c r="M2464" s="92"/>
      <c r="N2464" s="92"/>
      <c r="O2464" s="92"/>
      <c r="P2464" s="92"/>
    </row>
    <row r="2465" spans="1:16" s="154" customFormat="1" ht="12">
      <c r="A2465" s="92"/>
      <c r="B2465" s="92"/>
      <c r="C2465" s="92"/>
      <c r="D2465" s="92"/>
      <c r="E2465" s="92"/>
      <c r="F2465" s="92"/>
      <c r="G2465" s="92"/>
      <c r="H2465" s="92"/>
      <c r="I2465" s="92"/>
      <c r="J2465" s="92"/>
      <c r="K2465" s="92"/>
      <c r="L2465" s="92"/>
      <c r="M2465" s="92"/>
      <c r="N2465" s="92"/>
      <c r="O2465" s="92"/>
      <c r="P2465" s="92"/>
    </row>
    <row r="2466" spans="1:16" s="154" customFormat="1" ht="12">
      <c r="A2466" s="92"/>
      <c r="B2466" s="92"/>
      <c r="C2466" s="92"/>
      <c r="D2466" s="92"/>
      <c r="E2466" s="92"/>
      <c r="F2466" s="92"/>
      <c r="G2466" s="92"/>
      <c r="H2466" s="92"/>
      <c r="I2466" s="92"/>
      <c r="J2466" s="92"/>
      <c r="K2466" s="92"/>
      <c r="L2466" s="92"/>
      <c r="M2466" s="92"/>
      <c r="N2466" s="92"/>
      <c r="O2466" s="92"/>
      <c r="P2466" s="92"/>
    </row>
    <row r="2467" spans="1:16" s="154" customFormat="1" ht="12">
      <c r="A2467" s="92"/>
      <c r="B2467" s="92"/>
      <c r="C2467" s="92"/>
      <c r="D2467" s="92"/>
      <c r="E2467" s="92"/>
      <c r="F2467" s="92"/>
      <c r="G2467" s="92"/>
      <c r="H2467" s="92"/>
      <c r="I2467" s="92"/>
      <c r="J2467" s="92"/>
      <c r="K2467" s="92"/>
      <c r="L2467" s="92"/>
      <c r="M2467" s="92"/>
      <c r="N2467" s="92"/>
      <c r="O2467" s="92"/>
      <c r="P2467" s="92"/>
    </row>
    <row r="2468" spans="1:16" s="154" customFormat="1" ht="12">
      <c r="A2468" s="92"/>
      <c r="B2468" s="92"/>
      <c r="C2468" s="92"/>
      <c r="D2468" s="92"/>
      <c r="E2468" s="92"/>
      <c r="F2468" s="92"/>
      <c r="G2468" s="92"/>
      <c r="H2468" s="92"/>
      <c r="I2468" s="92"/>
      <c r="J2468" s="92"/>
      <c r="K2468" s="92"/>
      <c r="L2468" s="92"/>
      <c r="M2468" s="92"/>
      <c r="N2468" s="92"/>
      <c r="O2468" s="92"/>
      <c r="P2468" s="92"/>
    </row>
    <row r="2469" spans="1:16" s="154" customFormat="1" ht="12">
      <c r="A2469" s="92"/>
      <c r="B2469" s="92"/>
      <c r="C2469" s="92"/>
      <c r="D2469" s="92"/>
      <c r="E2469" s="92"/>
      <c r="F2469" s="92"/>
      <c r="G2469" s="92"/>
      <c r="H2469" s="92"/>
      <c r="I2469" s="92"/>
      <c r="J2469" s="92"/>
      <c r="K2469" s="92"/>
      <c r="L2469" s="92"/>
      <c r="M2469" s="92"/>
      <c r="N2469" s="92"/>
      <c r="O2469" s="92"/>
      <c r="P2469" s="92"/>
    </row>
    <row r="2470" spans="1:16" s="154" customFormat="1" ht="12">
      <c r="A2470" s="92"/>
      <c r="B2470" s="92"/>
      <c r="C2470" s="92"/>
      <c r="D2470" s="92"/>
      <c r="E2470" s="92"/>
      <c r="F2470" s="92"/>
      <c r="G2470" s="92"/>
      <c r="H2470" s="92"/>
      <c r="I2470" s="92"/>
      <c r="J2470" s="92"/>
      <c r="K2470" s="92"/>
      <c r="L2470" s="92"/>
      <c r="M2470" s="92"/>
      <c r="N2470" s="92"/>
      <c r="O2470" s="92"/>
      <c r="P2470" s="92"/>
    </row>
    <row r="2471" spans="1:16" s="154" customFormat="1" ht="12">
      <c r="A2471" s="92"/>
      <c r="B2471" s="92"/>
      <c r="C2471" s="92"/>
      <c r="D2471" s="92"/>
      <c r="E2471" s="92"/>
      <c r="F2471" s="92"/>
      <c r="G2471" s="92"/>
      <c r="H2471" s="92"/>
      <c r="I2471" s="92"/>
      <c r="J2471" s="92"/>
      <c r="K2471" s="92"/>
      <c r="L2471" s="92"/>
      <c r="M2471" s="92"/>
      <c r="N2471" s="92"/>
      <c r="O2471" s="92"/>
      <c r="P2471" s="92"/>
    </row>
    <row r="2472" spans="1:16" s="154" customFormat="1" ht="12">
      <c r="A2472" s="92"/>
      <c r="B2472" s="92"/>
      <c r="C2472" s="92"/>
      <c r="D2472" s="92"/>
      <c r="E2472" s="92"/>
      <c r="F2472" s="92"/>
      <c r="G2472" s="92"/>
      <c r="H2472" s="92"/>
      <c r="I2472" s="92"/>
      <c r="J2472" s="92"/>
      <c r="K2472" s="92"/>
      <c r="L2472" s="92"/>
      <c r="M2472" s="92"/>
      <c r="N2472" s="92"/>
      <c r="O2472" s="92"/>
      <c r="P2472" s="92"/>
    </row>
    <row r="2473" spans="1:16" s="154" customFormat="1" ht="12">
      <c r="A2473" s="92"/>
      <c r="B2473" s="92"/>
      <c r="C2473" s="92"/>
      <c r="D2473" s="92"/>
      <c r="E2473" s="92"/>
      <c r="F2473" s="92"/>
      <c r="G2473" s="92"/>
      <c r="H2473" s="92"/>
      <c r="I2473" s="92"/>
      <c r="J2473" s="92"/>
      <c r="K2473" s="92"/>
      <c r="L2473" s="92"/>
      <c r="M2473" s="92"/>
      <c r="N2473" s="92"/>
      <c r="O2473" s="92"/>
      <c r="P2473" s="92"/>
    </row>
    <row r="2474" spans="1:16" s="154" customFormat="1" ht="12">
      <c r="A2474" s="92"/>
      <c r="B2474" s="92"/>
      <c r="C2474" s="92"/>
      <c r="D2474" s="92"/>
      <c r="E2474" s="92"/>
      <c r="F2474" s="92"/>
      <c r="G2474" s="92"/>
      <c r="H2474" s="92"/>
      <c r="I2474" s="92"/>
      <c r="J2474" s="92"/>
      <c r="K2474" s="92"/>
      <c r="L2474" s="92"/>
      <c r="M2474" s="92"/>
      <c r="N2474" s="92"/>
      <c r="O2474" s="92"/>
      <c r="P2474" s="92"/>
    </row>
    <row r="2475" spans="1:16" s="154" customFormat="1" ht="12">
      <c r="A2475" s="92"/>
      <c r="B2475" s="92"/>
      <c r="C2475" s="92"/>
      <c r="D2475" s="92"/>
      <c r="E2475" s="92"/>
      <c r="F2475" s="92"/>
      <c r="G2475" s="92"/>
      <c r="H2475" s="92"/>
      <c r="I2475" s="92"/>
      <c r="J2475" s="92"/>
      <c r="K2475" s="92"/>
      <c r="L2475" s="92"/>
      <c r="M2475" s="92"/>
      <c r="N2475" s="92"/>
      <c r="O2475" s="92"/>
      <c r="P2475" s="92"/>
    </row>
    <row r="2476" spans="1:16" s="154" customFormat="1" ht="12">
      <c r="A2476" s="92"/>
      <c r="B2476" s="92"/>
      <c r="C2476" s="92"/>
      <c r="D2476" s="92"/>
      <c r="E2476" s="92"/>
      <c r="F2476" s="92"/>
      <c r="G2476" s="92"/>
      <c r="H2476" s="92"/>
      <c r="I2476" s="92"/>
      <c r="J2476" s="92"/>
      <c r="K2476" s="92"/>
      <c r="L2476" s="92"/>
      <c r="M2476" s="92"/>
      <c r="N2476" s="92"/>
      <c r="O2476" s="92"/>
      <c r="P2476" s="92"/>
    </row>
    <row r="2477" spans="1:16" s="154" customFormat="1" ht="12">
      <c r="A2477" s="92"/>
      <c r="B2477" s="92"/>
      <c r="C2477" s="92"/>
      <c r="D2477" s="92"/>
      <c r="E2477" s="92"/>
      <c r="F2477" s="92"/>
      <c r="G2477" s="92"/>
      <c r="H2477" s="92"/>
      <c r="I2477" s="92"/>
      <c r="J2477" s="92"/>
      <c r="K2477" s="92"/>
      <c r="L2477" s="92"/>
      <c r="M2477" s="92"/>
      <c r="N2477" s="92"/>
      <c r="O2477" s="92"/>
      <c r="P2477" s="92"/>
    </row>
    <row r="2478" spans="1:16" s="154" customFormat="1" ht="12">
      <c r="A2478" s="92"/>
      <c r="B2478" s="92"/>
      <c r="C2478" s="92"/>
      <c r="D2478" s="92"/>
      <c r="E2478" s="92"/>
      <c r="F2478" s="92"/>
      <c r="G2478" s="92"/>
      <c r="H2478" s="92"/>
      <c r="I2478" s="92"/>
      <c r="J2478" s="92"/>
      <c r="K2478" s="92"/>
      <c r="L2478" s="92"/>
      <c r="M2478" s="92"/>
      <c r="N2478" s="92"/>
      <c r="O2478" s="92"/>
      <c r="P2478" s="92"/>
    </row>
    <row r="2479" spans="1:16" s="154" customFormat="1" ht="12">
      <c r="A2479" s="92"/>
      <c r="B2479" s="92"/>
      <c r="C2479" s="92"/>
      <c r="D2479" s="92"/>
      <c r="E2479" s="92"/>
      <c r="F2479" s="92"/>
      <c r="G2479" s="92"/>
      <c r="H2479" s="92"/>
      <c r="I2479" s="92"/>
      <c r="J2479" s="92"/>
      <c r="K2479" s="92"/>
      <c r="L2479" s="92"/>
      <c r="M2479" s="92"/>
      <c r="N2479" s="92"/>
      <c r="O2479" s="92"/>
      <c r="P2479" s="92"/>
    </row>
    <row r="2480" spans="1:16" s="154" customFormat="1" ht="12">
      <c r="A2480" s="92"/>
      <c r="B2480" s="92"/>
      <c r="C2480" s="92"/>
      <c r="D2480" s="92"/>
      <c r="E2480" s="92"/>
      <c r="F2480" s="92"/>
      <c r="G2480" s="92"/>
      <c r="H2480" s="92"/>
      <c r="I2480" s="92"/>
      <c r="J2480" s="92"/>
      <c r="K2480" s="92"/>
      <c r="L2480" s="92"/>
      <c r="M2480" s="92"/>
      <c r="N2480" s="92"/>
      <c r="O2480" s="92"/>
      <c r="P2480" s="92"/>
    </row>
    <row r="2481" spans="1:16" s="154" customFormat="1" ht="12">
      <c r="A2481" s="92"/>
      <c r="B2481" s="92"/>
      <c r="C2481" s="92"/>
      <c r="D2481" s="92"/>
      <c r="E2481" s="92"/>
      <c r="F2481" s="92"/>
      <c r="G2481" s="92"/>
      <c r="H2481" s="92"/>
      <c r="I2481" s="92"/>
      <c r="J2481" s="92"/>
      <c r="K2481" s="92"/>
      <c r="L2481" s="92"/>
      <c r="M2481" s="92"/>
      <c r="N2481" s="92"/>
      <c r="O2481" s="92"/>
      <c r="P2481" s="92"/>
    </row>
    <row r="2482" spans="1:16" s="154" customFormat="1" ht="12">
      <c r="A2482" s="92"/>
      <c r="B2482" s="92"/>
      <c r="C2482" s="92"/>
      <c r="D2482" s="92"/>
      <c r="E2482" s="92"/>
      <c r="F2482" s="92"/>
      <c r="G2482" s="92"/>
      <c r="H2482" s="92"/>
      <c r="I2482" s="92"/>
      <c r="J2482" s="92"/>
      <c r="K2482" s="92"/>
      <c r="L2482" s="92"/>
      <c r="M2482" s="92"/>
      <c r="N2482" s="92"/>
      <c r="O2482" s="92"/>
      <c r="P2482" s="92"/>
    </row>
    <row r="2483" spans="1:16" s="154" customFormat="1" ht="12">
      <c r="A2483" s="92"/>
      <c r="B2483" s="92"/>
      <c r="C2483" s="92"/>
      <c r="D2483" s="92"/>
      <c r="E2483" s="92"/>
      <c r="F2483" s="92"/>
      <c r="G2483" s="92"/>
      <c r="H2483" s="92"/>
      <c r="I2483" s="92"/>
      <c r="J2483" s="92"/>
      <c r="K2483" s="92"/>
      <c r="L2483" s="92"/>
      <c r="M2483" s="92"/>
      <c r="N2483" s="92"/>
      <c r="O2483" s="92"/>
      <c r="P2483" s="92"/>
    </row>
    <row r="2484" spans="1:16" s="154" customFormat="1" ht="12">
      <c r="A2484" s="92"/>
      <c r="B2484" s="92"/>
      <c r="C2484" s="92"/>
      <c r="D2484" s="92"/>
      <c r="E2484" s="92"/>
      <c r="F2484" s="92"/>
      <c r="G2484" s="92"/>
      <c r="H2484" s="92"/>
      <c r="I2484" s="92"/>
      <c r="J2484" s="92"/>
      <c r="K2484" s="92"/>
      <c r="L2484" s="92"/>
      <c r="M2484" s="92"/>
      <c r="N2484" s="92"/>
      <c r="O2484" s="92"/>
      <c r="P2484" s="92"/>
    </row>
    <row r="2485" spans="1:16" s="154" customFormat="1" ht="12">
      <c r="A2485" s="92"/>
      <c r="B2485" s="92"/>
      <c r="C2485" s="92"/>
      <c r="D2485" s="92"/>
      <c r="E2485" s="92"/>
      <c r="F2485" s="92"/>
      <c r="G2485" s="92"/>
      <c r="H2485" s="92"/>
      <c r="I2485" s="92"/>
      <c r="J2485" s="92"/>
      <c r="K2485" s="92"/>
      <c r="L2485" s="92"/>
      <c r="M2485" s="92"/>
      <c r="N2485" s="92"/>
      <c r="O2485" s="92"/>
      <c r="P2485" s="92"/>
    </row>
    <row r="2486" spans="1:16" s="154" customFormat="1" ht="12">
      <c r="A2486" s="92"/>
      <c r="B2486" s="92"/>
      <c r="C2486" s="92"/>
      <c r="D2486" s="92"/>
      <c r="E2486" s="92"/>
      <c r="F2486" s="92"/>
      <c r="G2486" s="92"/>
      <c r="H2486" s="92"/>
      <c r="I2486" s="92"/>
      <c r="J2486" s="92"/>
      <c r="K2486" s="92"/>
      <c r="L2486" s="92"/>
      <c r="M2486" s="92"/>
      <c r="N2486" s="92"/>
      <c r="O2486" s="92"/>
      <c r="P2486" s="92"/>
    </row>
    <row r="2487" spans="1:16" s="154" customFormat="1" ht="12">
      <c r="A2487" s="92"/>
      <c r="B2487" s="92"/>
      <c r="C2487" s="92"/>
      <c r="D2487" s="92"/>
      <c r="E2487" s="92"/>
      <c r="F2487" s="92"/>
      <c r="G2487" s="92"/>
      <c r="H2487" s="92"/>
      <c r="I2487" s="92"/>
      <c r="J2487" s="92"/>
      <c r="K2487" s="92"/>
      <c r="L2487" s="92"/>
      <c r="M2487" s="92"/>
      <c r="N2487" s="92"/>
      <c r="O2487" s="92"/>
      <c r="P2487" s="92"/>
    </row>
    <row r="2488" spans="1:16" s="154" customFormat="1" ht="12">
      <c r="A2488" s="92"/>
      <c r="B2488" s="92"/>
      <c r="C2488" s="92"/>
      <c r="D2488" s="92"/>
      <c r="E2488" s="92"/>
      <c r="F2488" s="92"/>
      <c r="G2488" s="92"/>
      <c r="H2488" s="92"/>
      <c r="I2488" s="92"/>
      <c r="J2488" s="92"/>
      <c r="K2488" s="92"/>
      <c r="L2488" s="92"/>
      <c r="M2488" s="92"/>
      <c r="N2488" s="92"/>
      <c r="O2488" s="92"/>
      <c r="P2488" s="92"/>
    </row>
    <row r="2489" spans="1:16" s="154" customFormat="1" ht="12">
      <c r="A2489" s="92"/>
      <c r="B2489" s="92"/>
      <c r="C2489" s="92"/>
      <c r="D2489" s="92"/>
      <c r="E2489" s="92"/>
      <c r="F2489" s="92"/>
      <c r="G2489" s="92"/>
      <c r="H2489" s="92"/>
      <c r="I2489" s="92"/>
      <c r="J2489" s="92"/>
      <c r="K2489" s="92"/>
      <c r="L2489" s="92"/>
      <c r="M2489" s="92"/>
      <c r="N2489" s="92"/>
      <c r="O2489" s="92"/>
      <c r="P2489" s="92"/>
    </row>
    <row r="2490" spans="1:16" s="154" customFormat="1" ht="12">
      <c r="A2490" s="92"/>
      <c r="B2490" s="92"/>
      <c r="C2490" s="92"/>
      <c r="D2490" s="92"/>
      <c r="E2490" s="92"/>
      <c r="F2490" s="92"/>
      <c r="G2490" s="92"/>
      <c r="H2490" s="92"/>
      <c r="I2490" s="92"/>
      <c r="J2490" s="92"/>
      <c r="K2490" s="92"/>
      <c r="L2490" s="92"/>
      <c r="M2490" s="92"/>
      <c r="N2490" s="92"/>
      <c r="O2490" s="92"/>
      <c r="P2490" s="92"/>
    </row>
    <row r="2491" spans="1:16" s="154" customFormat="1" ht="12">
      <c r="A2491" s="92"/>
      <c r="B2491" s="92"/>
      <c r="C2491" s="92"/>
      <c r="D2491" s="92"/>
      <c r="E2491" s="92"/>
      <c r="F2491" s="92"/>
      <c r="G2491" s="92"/>
      <c r="H2491" s="92"/>
      <c r="I2491" s="92"/>
      <c r="J2491" s="92"/>
      <c r="K2491" s="92"/>
      <c r="L2491" s="92"/>
      <c r="M2491" s="92"/>
      <c r="N2491" s="92"/>
      <c r="O2491" s="92"/>
      <c r="P2491" s="92"/>
    </row>
    <row r="2492" spans="1:16" s="154" customFormat="1" ht="12">
      <c r="A2492" s="92"/>
      <c r="B2492" s="92"/>
      <c r="C2492" s="92"/>
      <c r="D2492" s="92"/>
      <c r="E2492" s="92"/>
      <c r="F2492" s="92"/>
      <c r="G2492" s="92"/>
      <c r="H2492" s="92"/>
      <c r="I2492" s="92"/>
      <c r="J2492" s="92"/>
      <c r="K2492" s="92"/>
      <c r="L2492" s="92"/>
      <c r="M2492" s="92"/>
      <c r="N2492" s="92"/>
      <c r="O2492" s="92"/>
      <c r="P2492" s="92"/>
    </row>
    <row r="2493" spans="1:16" s="154" customFormat="1" ht="12">
      <c r="A2493" s="92"/>
      <c r="B2493" s="92"/>
      <c r="C2493" s="92"/>
      <c r="D2493" s="92"/>
      <c r="E2493" s="92"/>
      <c r="F2493" s="92"/>
      <c r="G2493" s="92"/>
      <c r="H2493" s="92"/>
      <c r="I2493" s="92"/>
      <c r="J2493" s="92"/>
      <c r="K2493" s="92"/>
      <c r="L2493" s="92"/>
      <c r="M2493" s="92"/>
      <c r="N2493" s="92"/>
      <c r="O2493" s="92"/>
      <c r="P2493" s="92"/>
    </row>
    <row r="2494" spans="1:16" s="154" customFormat="1" ht="12">
      <c r="A2494" s="92"/>
      <c r="B2494" s="92"/>
      <c r="C2494" s="92"/>
      <c r="D2494" s="92"/>
      <c r="E2494" s="92"/>
      <c r="F2494" s="92"/>
      <c r="G2494" s="92"/>
      <c r="H2494" s="92"/>
      <c r="I2494" s="92"/>
      <c r="J2494" s="92"/>
      <c r="K2494" s="92"/>
      <c r="L2494" s="92"/>
      <c r="M2494" s="92"/>
      <c r="N2494" s="92"/>
      <c r="O2494" s="92"/>
      <c r="P2494" s="92"/>
    </row>
    <row r="2495" spans="1:16" s="154" customFormat="1" ht="12">
      <c r="A2495" s="92"/>
      <c r="B2495" s="92"/>
      <c r="C2495" s="92"/>
      <c r="D2495" s="92"/>
      <c r="E2495" s="92"/>
      <c r="F2495" s="92"/>
      <c r="G2495" s="92"/>
      <c r="H2495" s="92"/>
      <c r="I2495" s="92"/>
      <c r="J2495" s="92"/>
      <c r="K2495" s="92"/>
      <c r="L2495" s="92"/>
      <c r="M2495" s="92"/>
      <c r="N2495" s="92"/>
      <c r="O2495" s="92"/>
      <c r="P2495" s="92"/>
    </row>
    <row r="2496" spans="1:16" s="154" customFormat="1" ht="12">
      <c r="A2496" s="92"/>
      <c r="B2496" s="92"/>
      <c r="C2496" s="92"/>
      <c r="D2496" s="92"/>
      <c r="E2496" s="92"/>
      <c r="F2496" s="92"/>
      <c r="G2496" s="92"/>
      <c r="H2496" s="92"/>
      <c r="I2496" s="92"/>
      <c r="J2496" s="92"/>
      <c r="K2496" s="92"/>
      <c r="L2496" s="92"/>
      <c r="M2496" s="92"/>
      <c r="N2496" s="92"/>
      <c r="O2496" s="92"/>
      <c r="P2496" s="92"/>
    </row>
    <row r="2497" spans="1:16" s="154" customFormat="1" ht="12">
      <c r="A2497" s="92"/>
      <c r="B2497" s="92"/>
      <c r="C2497" s="92"/>
      <c r="D2497" s="92"/>
      <c r="E2497" s="92"/>
      <c r="F2497" s="92"/>
      <c r="G2497" s="92"/>
      <c r="H2497" s="92"/>
      <c r="I2497" s="92"/>
      <c r="J2497" s="92"/>
      <c r="K2497" s="92"/>
      <c r="L2497" s="92"/>
      <c r="M2497" s="92"/>
      <c r="N2497" s="92"/>
      <c r="O2497" s="92"/>
      <c r="P2497" s="92"/>
    </row>
    <row r="2498" spans="1:16" s="154" customFormat="1" ht="12">
      <c r="A2498" s="92"/>
      <c r="B2498" s="92"/>
      <c r="C2498" s="92"/>
      <c r="D2498" s="92"/>
      <c r="E2498" s="92"/>
      <c r="F2498" s="92"/>
      <c r="G2498" s="92"/>
      <c r="H2498" s="92"/>
      <c r="I2498" s="92"/>
      <c r="J2498" s="92"/>
      <c r="K2498" s="92"/>
      <c r="L2498" s="92"/>
      <c r="M2498" s="92"/>
      <c r="N2498" s="92"/>
      <c r="O2498" s="92"/>
      <c r="P2498" s="92"/>
    </row>
    <row r="2499" spans="1:16" s="154" customFormat="1" ht="12">
      <c r="A2499" s="92"/>
      <c r="B2499" s="92"/>
      <c r="C2499" s="92"/>
      <c r="D2499" s="92"/>
      <c r="E2499" s="92"/>
      <c r="F2499" s="92"/>
      <c r="G2499" s="92"/>
      <c r="H2499" s="92"/>
      <c r="I2499" s="92"/>
      <c r="J2499" s="92"/>
      <c r="K2499" s="92"/>
      <c r="L2499" s="92"/>
      <c r="M2499" s="92"/>
      <c r="N2499" s="92"/>
      <c r="O2499" s="92"/>
      <c r="P2499" s="92"/>
    </row>
    <row r="2500" spans="1:16" s="154" customFormat="1" ht="12">
      <c r="A2500" s="92"/>
      <c r="B2500" s="92"/>
      <c r="C2500" s="92"/>
      <c r="D2500" s="92"/>
      <c r="E2500" s="92"/>
      <c r="F2500" s="92"/>
      <c r="G2500" s="92"/>
      <c r="H2500" s="92"/>
      <c r="I2500" s="92"/>
      <c r="J2500" s="92"/>
      <c r="K2500" s="92"/>
      <c r="L2500" s="92"/>
      <c r="M2500" s="92"/>
      <c r="N2500" s="92"/>
      <c r="O2500" s="92"/>
      <c r="P2500" s="92"/>
    </row>
    <row r="2501" spans="1:16" s="154" customFormat="1" ht="12">
      <c r="A2501" s="92"/>
      <c r="B2501" s="92"/>
      <c r="C2501" s="92"/>
      <c r="D2501" s="92"/>
      <c r="E2501" s="92"/>
      <c r="F2501" s="92"/>
      <c r="G2501" s="92"/>
      <c r="H2501" s="92"/>
      <c r="I2501" s="92"/>
      <c r="J2501" s="92"/>
      <c r="K2501" s="92"/>
      <c r="L2501" s="92"/>
      <c r="M2501" s="92"/>
      <c r="N2501" s="92"/>
      <c r="O2501" s="92"/>
      <c r="P2501" s="92"/>
    </row>
    <row r="2502" spans="1:16" s="154" customFormat="1" ht="12">
      <c r="A2502" s="92"/>
      <c r="B2502" s="92"/>
      <c r="C2502" s="92"/>
      <c r="D2502" s="92"/>
      <c r="E2502" s="92"/>
      <c r="F2502" s="92"/>
      <c r="G2502" s="92"/>
      <c r="H2502" s="92"/>
      <c r="I2502" s="92"/>
      <c r="J2502" s="92"/>
      <c r="K2502" s="92"/>
      <c r="L2502" s="92"/>
      <c r="M2502" s="92"/>
      <c r="N2502" s="92"/>
      <c r="O2502" s="92"/>
      <c r="P2502" s="92"/>
    </row>
    <row r="2503" spans="1:16" s="154" customFormat="1" ht="12">
      <c r="A2503" s="92"/>
      <c r="B2503" s="92"/>
      <c r="C2503" s="92"/>
      <c r="D2503" s="92"/>
      <c r="E2503" s="92"/>
      <c r="F2503" s="92"/>
      <c r="G2503" s="92"/>
      <c r="H2503" s="92"/>
      <c r="I2503" s="92"/>
      <c r="J2503" s="92"/>
      <c r="K2503" s="92"/>
      <c r="L2503" s="92"/>
      <c r="M2503" s="92"/>
      <c r="N2503" s="92"/>
      <c r="O2503" s="92"/>
      <c r="P2503" s="92"/>
    </row>
    <row r="2504" spans="1:16" s="154" customFormat="1" ht="12">
      <c r="A2504" s="92"/>
      <c r="B2504" s="92"/>
      <c r="C2504" s="92"/>
      <c r="D2504" s="92"/>
      <c r="E2504" s="92"/>
      <c r="F2504" s="92"/>
      <c r="G2504" s="92"/>
      <c r="H2504" s="92"/>
      <c r="I2504" s="92"/>
      <c r="J2504" s="92"/>
      <c r="K2504" s="92"/>
      <c r="L2504" s="92"/>
      <c r="M2504" s="92"/>
      <c r="N2504" s="92"/>
      <c r="O2504" s="92"/>
      <c r="P2504" s="92"/>
    </row>
    <row r="2505" spans="1:16" s="154" customFormat="1" ht="12">
      <c r="A2505" s="92"/>
      <c r="B2505" s="92"/>
      <c r="C2505" s="92"/>
      <c r="D2505" s="92"/>
      <c r="E2505" s="92"/>
      <c r="F2505" s="92"/>
      <c r="G2505" s="92"/>
      <c r="H2505" s="92"/>
      <c r="I2505" s="92"/>
      <c r="J2505" s="92"/>
      <c r="K2505" s="92"/>
      <c r="L2505" s="92"/>
      <c r="M2505" s="92"/>
      <c r="N2505" s="92"/>
      <c r="O2505" s="92"/>
      <c r="P2505" s="92"/>
    </row>
    <row r="2506" spans="1:16" s="154" customFormat="1" ht="12">
      <c r="A2506" s="92"/>
      <c r="B2506" s="92"/>
      <c r="C2506" s="92"/>
      <c r="D2506" s="92"/>
      <c r="E2506" s="92"/>
      <c r="F2506" s="92"/>
      <c r="G2506" s="92"/>
      <c r="H2506" s="92"/>
      <c r="I2506" s="92"/>
      <c r="J2506" s="92"/>
      <c r="K2506" s="92"/>
      <c r="L2506" s="92"/>
      <c r="M2506" s="92"/>
      <c r="N2506" s="92"/>
      <c r="O2506" s="92"/>
      <c r="P2506" s="92"/>
    </row>
    <row r="2507" spans="1:16" s="154" customFormat="1" ht="12">
      <c r="A2507" s="92"/>
      <c r="B2507" s="92"/>
      <c r="C2507" s="92"/>
      <c r="D2507" s="92"/>
      <c r="E2507" s="92"/>
      <c r="F2507" s="92"/>
      <c r="G2507" s="92"/>
      <c r="H2507" s="92"/>
      <c r="I2507" s="92"/>
      <c r="J2507" s="92"/>
      <c r="K2507" s="92"/>
      <c r="L2507" s="92"/>
      <c r="M2507" s="92"/>
      <c r="N2507" s="92"/>
      <c r="O2507" s="92"/>
      <c r="P2507" s="92"/>
    </row>
    <row r="2508" spans="1:16" s="154" customFormat="1" ht="12">
      <c r="A2508" s="92"/>
      <c r="B2508" s="92"/>
      <c r="C2508" s="92"/>
      <c r="D2508" s="92"/>
      <c r="E2508" s="92"/>
      <c r="F2508" s="92"/>
      <c r="G2508" s="92"/>
      <c r="H2508" s="92"/>
      <c r="I2508" s="92"/>
      <c r="J2508" s="92"/>
      <c r="K2508" s="92"/>
      <c r="L2508" s="92"/>
      <c r="M2508" s="92"/>
      <c r="N2508" s="92"/>
      <c r="O2508" s="92"/>
      <c r="P2508" s="92"/>
    </row>
    <row r="2509" spans="1:16" s="154" customFormat="1" ht="12">
      <c r="A2509" s="92"/>
      <c r="B2509" s="92"/>
      <c r="C2509" s="92"/>
      <c r="D2509" s="92"/>
      <c r="E2509" s="92"/>
      <c r="F2509" s="92"/>
      <c r="G2509" s="92"/>
      <c r="H2509" s="92"/>
      <c r="I2509" s="92"/>
      <c r="J2509" s="92"/>
      <c r="K2509" s="92"/>
      <c r="L2509" s="92"/>
      <c r="M2509" s="92"/>
      <c r="N2509" s="92"/>
      <c r="O2509" s="92"/>
      <c r="P2509" s="92"/>
    </row>
    <row r="2510" spans="1:16" s="154" customFormat="1" ht="12">
      <c r="A2510" s="92"/>
      <c r="B2510" s="92"/>
      <c r="C2510" s="92"/>
      <c r="D2510" s="92"/>
      <c r="E2510" s="92"/>
      <c r="F2510" s="92"/>
      <c r="G2510" s="92"/>
      <c r="H2510" s="92"/>
      <c r="I2510" s="92"/>
      <c r="J2510" s="92"/>
      <c r="K2510" s="92"/>
      <c r="L2510" s="92"/>
      <c r="M2510" s="92"/>
      <c r="N2510" s="92"/>
      <c r="O2510" s="92"/>
      <c r="P2510" s="92"/>
    </row>
    <row r="2511" spans="1:16" s="154" customFormat="1" ht="12">
      <c r="A2511" s="92"/>
      <c r="B2511" s="92"/>
      <c r="C2511" s="92"/>
      <c r="D2511" s="92"/>
      <c r="E2511" s="92"/>
      <c r="F2511" s="92"/>
      <c r="G2511" s="92"/>
      <c r="H2511" s="92"/>
      <c r="I2511" s="92"/>
      <c r="J2511" s="92"/>
      <c r="K2511" s="92"/>
      <c r="L2511" s="92"/>
      <c r="M2511" s="92"/>
      <c r="N2511" s="92"/>
      <c r="O2511" s="92"/>
      <c r="P2511" s="92"/>
    </row>
    <row r="2512" spans="1:16" s="154" customFormat="1" ht="12">
      <c r="A2512" s="92"/>
      <c r="B2512" s="92"/>
      <c r="C2512" s="92"/>
      <c r="D2512" s="92"/>
      <c r="E2512" s="92"/>
      <c r="F2512" s="92"/>
      <c r="G2512" s="92"/>
      <c r="H2512" s="92"/>
      <c r="I2512" s="92"/>
      <c r="J2512" s="92"/>
      <c r="K2512" s="92"/>
      <c r="L2512" s="92"/>
      <c r="M2512" s="92"/>
      <c r="N2512" s="92"/>
      <c r="O2512" s="92"/>
      <c r="P2512" s="92"/>
    </row>
    <row r="2513" spans="1:16" s="154" customFormat="1" ht="12">
      <c r="A2513" s="92"/>
      <c r="B2513" s="92"/>
      <c r="C2513" s="92"/>
      <c r="D2513" s="92"/>
      <c r="E2513" s="92"/>
      <c r="F2513" s="92"/>
      <c r="G2513" s="92"/>
      <c r="H2513" s="92"/>
      <c r="I2513" s="92"/>
      <c r="J2513" s="92"/>
      <c r="K2513" s="92"/>
      <c r="L2513" s="92"/>
      <c r="M2513" s="92"/>
      <c r="N2513" s="92"/>
      <c r="O2513" s="92"/>
      <c r="P2513" s="92"/>
    </row>
    <row r="2514" spans="1:16" s="154" customFormat="1" ht="12">
      <c r="A2514" s="92"/>
      <c r="B2514" s="92"/>
      <c r="C2514" s="92"/>
      <c r="D2514" s="92"/>
      <c r="E2514" s="92"/>
      <c r="F2514" s="92"/>
      <c r="G2514" s="92"/>
      <c r="H2514" s="92"/>
      <c r="I2514" s="92"/>
      <c r="J2514" s="92"/>
      <c r="K2514" s="92"/>
      <c r="L2514" s="92"/>
      <c r="M2514" s="92"/>
      <c r="N2514" s="92"/>
      <c r="O2514" s="92"/>
      <c r="P2514" s="92"/>
    </row>
    <row r="2515" spans="1:16" s="154" customFormat="1" ht="12">
      <c r="A2515" s="92"/>
      <c r="B2515" s="92"/>
      <c r="C2515" s="92"/>
      <c r="D2515" s="92"/>
      <c r="E2515" s="92"/>
      <c r="F2515" s="92"/>
      <c r="G2515" s="92"/>
      <c r="H2515" s="92"/>
      <c r="I2515" s="92"/>
      <c r="J2515" s="92"/>
      <c r="K2515" s="92"/>
      <c r="L2515" s="92"/>
      <c r="M2515" s="92"/>
      <c r="N2515" s="92"/>
      <c r="O2515" s="92"/>
      <c r="P2515" s="92"/>
    </row>
    <row r="2516" spans="1:16" s="154" customFormat="1" ht="12">
      <c r="A2516" s="92"/>
      <c r="B2516" s="92"/>
      <c r="C2516" s="92"/>
      <c r="D2516" s="92"/>
      <c r="E2516" s="92"/>
      <c r="F2516" s="92"/>
      <c r="G2516" s="92"/>
      <c r="H2516" s="92"/>
      <c r="I2516" s="92"/>
      <c r="J2516" s="92"/>
      <c r="K2516" s="92"/>
      <c r="L2516" s="92"/>
      <c r="M2516" s="92"/>
      <c r="N2516" s="92"/>
      <c r="O2516" s="92"/>
      <c r="P2516" s="92"/>
    </row>
    <row r="2517" spans="1:16" s="154" customFormat="1" ht="12">
      <c r="A2517" s="92"/>
      <c r="B2517" s="92"/>
      <c r="C2517" s="92"/>
      <c r="D2517" s="92"/>
      <c r="E2517" s="92"/>
      <c r="F2517" s="92"/>
      <c r="G2517" s="92"/>
      <c r="H2517" s="92"/>
      <c r="I2517" s="92"/>
      <c r="J2517" s="92"/>
      <c r="K2517" s="92"/>
      <c r="L2517" s="92"/>
      <c r="M2517" s="92"/>
      <c r="N2517" s="92"/>
      <c r="O2517" s="92"/>
      <c r="P2517" s="92"/>
    </row>
    <row r="2518" spans="1:16" s="154" customFormat="1" ht="12">
      <c r="A2518" s="92"/>
      <c r="B2518" s="92"/>
      <c r="C2518" s="92"/>
      <c r="D2518" s="92"/>
      <c r="E2518" s="92"/>
      <c r="F2518" s="92"/>
      <c r="G2518" s="92"/>
      <c r="H2518" s="92"/>
      <c r="I2518" s="92"/>
      <c r="J2518" s="92"/>
      <c r="K2518" s="92"/>
      <c r="L2518" s="92"/>
      <c r="M2518" s="92"/>
      <c r="N2518" s="92"/>
      <c r="O2518" s="92"/>
      <c r="P2518" s="92"/>
    </row>
    <row r="2519" spans="1:16" s="154" customFormat="1" ht="12">
      <c r="A2519" s="92"/>
      <c r="B2519" s="92"/>
      <c r="C2519" s="92"/>
      <c r="D2519" s="92"/>
      <c r="E2519" s="92"/>
      <c r="F2519" s="92"/>
      <c r="G2519" s="92"/>
      <c r="H2519" s="92"/>
      <c r="I2519" s="92"/>
      <c r="J2519" s="92"/>
      <c r="K2519" s="92"/>
      <c r="L2519" s="92"/>
      <c r="M2519" s="92"/>
      <c r="N2519" s="92"/>
      <c r="O2519" s="92"/>
      <c r="P2519" s="92"/>
    </row>
    <row r="2520" spans="1:16" s="154" customFormat="1" ht="12">
      <c r="A2520" s="92"/>
      <c r="B2520" s="92"/>
      <c r="C2520" s="92"/>
      <c r="D2520" s="92"/>
      <c r="E2520" s="92"/>
      <c r="F2520" s="92"/>
      <c r="G2520" s="92"/>
      <c r="H2520" s="92"/>
      <c r="I2520" s="92"/>
      <c r="J2520" s="92"/>
      <c r="K2520" s="92"/>
      <c r="L2520" s="92"/>
      <c r="M2520" s="92"/>
      <c r="N2520" s="92"/>
      <c r="O2520" s="92"/>
      <c r="P2520" s="92"/>
    </row>
    <row r="2521" spans="1:16" s="154" customFormat="1" ht="12">
      <c r="A2521" s="92"/>
      <c r="B2521" s="92"/>
      <c r="C2521" s="92"/>
      <c r="D2521" s="92"/>
      <c r="E2521" s="92"/>
      <c r="F2521" s="92"/>
      <c r="G2521" s="92"/>
      <c r="H2521" s="92"/>
      <c r="I2521" s="92"/>
      <c r="J2521" s="92"/>
      <c r="K2521" s="92"/>
      <c r="L2521" s="92"/>
      <c r="M2521" s="92"/>
      <c r="N2521" s="92"/>
      <c r="O2521" s="92"/>
      <c r="P2521" s="92"/>
    </row>
    <row r="2522" spans="1:16" s="154" customFormat="1" ht="12">
      <c r="A2522" s="92"/>
      <c r="B2522" s="92"/>
      <c r="C2522" s="92"/>
      <c r="D2522" s="92"/>
      <c r="E2522" s="92"/>
      <c r="F2522" s="92"/>
      <c r="G2522" s="92"/>
      <c r="H2522" s="92"/>
      <c r="I2522" s="92"/>
      <c r="J2522" s="92"/>
      <c r="K2522" s="92"/>
      <c r="L2522" s="92"/>
      <c r="M2522" s="92"/>
      <c r="N2522" s="92"/>
      <c r="O2522" s="92"/>
      <c r="P2522" s="92"/>
    </row>
    <row r="2523" spans="1:16" s="154" customFormat="1" ht="12">
      <c r="A2523" s="92"/>
      <c r="B2523" s="92"/>
      <c r="C2523" s="92"/>
      <c r="D2523" s="92"/>
      <c r="E2523" s="92"/>
      <c r="F2523" s="92"/>
      <c r="G2523" s="92"/>
      <c r="H2523" s="92"/>
      <c r="I2523" s="92"/>
      <c r="J2523" s="92"/>
      <c r="K2523" s="92"/>
      <c r="L2523" s="92"/>
      <c r="M2523" s="92"/>
      <c r="N2523" s="92"/>
      <c r="O2523" s="92"/>
      <c r="P2523" s="92"/>
    </row>
    <row r="2524" spans="1:16" s="154" customFormat="1" ht="12">
      <c r="A2524" s="92"/>
      <c r="B2524" s="92"/>
      <c r="C2524" s="92"/>
      <c r="D2524" s="92"/>
      <c r="E2524" s="92"/>
      <c r="F2524" s="92"/>
      <c r="G2524" s="92"/>
      <c r="H2524" s="92"/>
      <c r="I2524" s="92"/>
      <c r="J2524" s="92"/>
      <c r="K2524" s="92"/>
      <c r="L2524" s="92"/>
      <c r="M2524" s="92"/>
      <c r="N2524" s="92"/>
      <c r="O2524" s="92"/>
      <c r="P2524" s="92"/>
    </row>
    <row r="2525" spans="1:16" s="154" customFormat="1" ht="12">
      <c r="A2525" s="92"/>
      <c r="B2525" s="92"/>
      <c r="C2525" s="92"/>
      <c r="D2525" s="92"/>
      <c r="E2525" s="92"/>
      <c r="F2525" s="92"/>
      <c r="G2525" s="92"/>
      <c r="H2525" s="92"/>
      <c r="I2525" s="92"/>
      <c r="J2525" s="92"/>
      <c r="K2525" s="92"/>
      <c r="L2525" s="92"/>
      <c r="M2525" s="92"/>
      <c r="N2525" s="92"/>
      <c r="O2525" s="92"/>
      <c r="P2525" s="92"/>
    </row>
    <row r="2526" spans="1:16" s="154" customFormat="1" ht="12">
      <c r="A2526" s="92"/>
      <c r="B2526" s="92"/>
      <c r="C2526" s="92"/>
      <c r="D2526" s="92"/>
      <c r="E2526" s="92"/>
      <c r="F2526" s="92"/>
      <c r="G2526" s="92"/>
      <c r="H2526" s="92"/>
      <c r="I2526" s="92"/>
      <c r="J2526" s="92"/>
      <c r="K2526" s="92"/>
      <c r="L2526" s="92"/>
      <c r="M2526" s="92"/>
      <c r="N2526" s="92"/>
      <c r="O2526" s="92"/>
      <c r="P2526" s="92"/>
    </row>
    <row r="2527" spans="1:16" s="154" customFormat="1" ht="12">
      <c r="A2527" s="92"/>
      <c r="B2527" s="92"/>
      <c r="C2527" s="92"/>
      <c r="D2527" s="92"/>
      <c r="E2527" s="92"/>
      <c r="F2527" s="92"/>
      <c r="G2527" s="92"/>
      <c r="H2527" s="92"/>
      <c r="I2527" s="92"/>
      <c r="J2527" s="92"/>
      <c r="K2527" s="92"/>
      <c r="L2527" s="92"/>
      <c r="M2527" s="92"/>
      <c r="N2527" s="92"/>
      <c r="O2527" s="92"/>
      <c r="P2527" s="92"/>
    </row>
    <row r="2528" spans="1:16" s="154" customFormat="1" ht="12">
      <c r="A2528" s="92"/>
      <c r="B2528" s="92"/>
      <c r="C2528" s="92"/>
      <c r="D2528" s="92"/>
      <c r="E2528" s="92"/>
      <c r="F2528" s="92"/>
      <c r="G2528" s="92"/>
      <c r="H2528" s="92"/>
      <c r="I2528" s="92"/>
      <c r="J2528" s="92"/>
      <c r="K2528" s="92"/>
      <c r="L2528" s="92"/>
      <c r="M2528" s="92"/>
      <c r="N2528" s="92"/>
      <c r="O2528" s="92"/>
      <c r="P2528" s="92"/>
    </row>
    <row r="2529" spans="1:16" s="154" customFormat="1" ht="12">
      <c r="A2529" s="92"/>
      <c r="B2529" s="92"/>
      <c r="C2529" s="92"/>
      <c r="D2529" s="92"/>
      <c r="E2529" s="92"/>
      <c r="F2529" s="92"/>
      <c r="G2529" s="92"/>
      <c r="H2529" s="92"/>
      <c r="I2529" s="92"/>
      <c r="J2529" s="92"/>
      <c r="K2529" s="92"/>
      <c r="L2529" s="92"/>
      <c r="M2529" s="92"/>
      <c r="N2529" s="92"/>
      <c r="O2529" s="92"/>
      <c r="P2529" s="92"/>
    </row>
    <row r="2530" spans="1:16" s="154" customFormat="1" ht="12">
      <c r="A2530" s="92"/>
      <c r="B2530" s="92"/>
      <c r="C2530" s="92"/>
      <c r="D2530" s="92"/>
      <c r="E2530" s="92"/>
      <c r="F2530" s="92"/>
      <c r="G2530" s="92"/>
      <c r="H2530" s="92"/>
      <c r="I2530" s="92"/>
      <c r="J2530" s="92"/>
      <c r="K2530" s="92"/>
      <c r="L2530" s="92"/>
      <c r="M2530" s="92"/>
      <c r="N2530" s="92"/>
      <c r="O2530" s="92"/>
      <c r="P2530" s="92"/>
    </row>
    <row r="2531" spans="1:16" s="154" customFormat="1" ht="12">
      <c r="A2531" s="92"/>
      <c r="B2531" s="92"/>
      <c r="C2531" s="92"/>
      <c r="D2531" s="92"/>
      <c r="E2531" s="92"/>
      <c r="F2531" s="92"/>
      <c r="G2531" s="92"/>
      <c r="H2531" s="92"/>
      <c r="I2531" s="92"/>
      <c r="J2531" s="92"/>
      <c r="K2531" s="92"/>
      <c r="L2531" s="92"/>
      <c r="M2531" s="92"/>
      <c r="N2531" s="92"/>
      <c r="O2531" s="92"/>
      <c r="P2531" s="92"/>
    </row>
    <row r="2532" spans="1:16" s="154" customFormat="1" ht="12">
      <c r="A2532" s="92"/>
      <c r="B2532" s="92"/>
      <c r="C2532" s="92"/>
      <c r="D2532" s="92"/>
      <c r="E2532" s="92"/>
      <c r="F2532" s="92"/>
      <c r="G2532" s="92"/>
      <c r="H2532" s="92"/>
      <c r="I2532" s="92"/>
      <c r="J2532" s="92"/>
      <c r="K2532" s="92"/>
      <c r="L2532" s="92"/>
      <c r="M2532" s="92"/>
      <c r="N2532" s="92"/>
      <c r="O2532" s="92"/>
      <c r="P2532" s="92"/>
    </row>
    <row r="2533" spans="1:16" s="154" customFormat="1" ht="12">
      <c r="A2533" s="92"/>
      <c r="B2533" s="92"/>
      <c r="C2533" s="92"/>
      <c r="D2533" s="92"/>
      <c r="E2533" s="92"/>
      <c r="F2533" s="92"/>
      <c r="G2533" s="92"/>
      <c r="H2533" s="92"/>
      <c r="I2533" s="92"/>
      <c r="J2533" s="92"/>
      <c r="K2533" s="92"/>
      <c r="L2533" s="92"/>
      <c r="M2533" s="92"/>
      <c r="N2533" s="92"/>
      <c r="O2533" s="92"/>
      <c r="P2533" s="92"/>
    </row>
    <row r="2534" spans="1:16" s="154" customFormat="1" ht="12">
      <c r="A2534" s="92"/>
      <c r="B2534" s="92"/>
      <c r="C2534" s="92"/>
      <c r="D2534" s="92"/>
      <c r="E2534" s="92"/>
      <c r="F2534" s="92"/>
      <c r="G2534" s="92"/>
      <c r="H2534" s="92"/>
      <c r="I2534" s="92"/>
      <c r="J2534" s="92"/>
      <c r="K2534" s="92"/>
      <c r="L2534" s="92"/>
      <c r="M2534" s="92"/>
      <c r="N2534" s="92"/>
      <c r="O2534" s="92"/>
      <c r="P2534" s="92"/>
    </row>
    <row r="2535" spans="1:16" s="154" customFormat="1" ht="12">
      <c r="A2535" s="92"/>
      <c r="B2535" s="92"/>
      <c r="C2535" s="92"/>
      <c r="D2535" s="92"/>
      <c r="E2535" s="92"/>
      <c r="F2535" s="92"/>
      <c r="G2535" s="92"/>
      <c r="H2535" s="92"/>
      <c r="I2535" s="92"/>
      <c r="J2535" s="92"/>
      <c r="K2535" s="92"/>
      <c r="L2535" s="92"/>
      <c r="M2535" s="92"/>
      <c r="N2535" s="92"/>
      <c r="O2535" s="92"/>
      <c r="P2535" s="92"/>
    </row>
    <row r="2536" spans="1:16" s="154" customFormat="1" ht="12">
      <c r="A2536" s="92"/>
      <c r="B2536" s="92"/>
      <c r="C2536" s="92"/>
      <c r="D2536" s="92"/>
      <c r="E2536" s="92"/>
      <c r="F2536" s="92"/>
      <c r="G2536" s="92"/>
      <c r="H2536" s="92"/>
      <c r="I2536" s="92"/>
      <c r="J2536" s="92"/>
      <c r="K2536" s="92"/>
      <c r="L2536" s="92"/>
      <c r="M2536" s="92"/>
      <c r="N2536" s="92"/>
      <c r="O2536" s="92"/>
      <c r="P2536" s="92"/>
    </row>
    <row r="2537" spans="1:16" s="154" customFormat="1" ht="12">
      <c r="A2537" s="92"/>
      <c r="B2537" s="92"/>
      <c r="C2537" s="92"/>
      <c r="D2537" s="92"/>
      <c r="E2537" s="92"/>
      <c r="F2537" s="92"/>
      <c r="G2537" s="92"/>
      <c r="H2537" s="92"/>
      <c r="I2537" s="92"/>
      <c r="J2537" s="92"/>
      <c r="K2537" s="92"/>
      <c r="L2537" s="92"/>
      <c r="M2537" s="92"/>
      <c r="N2537" s="92"/>
      <c r="O2537" s="92"/>
      <c r="P2537" s="92"/>
    </row>
    <row r="2538" spans="1:16" s="154" customFormat="1" ht="12">
      <c r="A2538" s="92"/>
      <c r="B2538" s="92"/>
      <c r="C2538" s="92"/>
      <c r="D2538" s="92"/>
      <c r="E2538" s="92"/>
      <c r="F2538" s="92"/>
      <c r="G2538" s="92"/>
      <c r="H2538" s="92"/>
      <c r="I2538" s="92"/>
      <c r="J2538" s="92"/>
      <c r="K2538" s="92"/>
      <c r="L2538" s="92"/>
      <c r="M2538" s="92"/>
      <c r="N2538" s="92"/>
      <c r="O2538" s="92"/>
      <c r="P2538" s="92"/>
    </row>
    <row r="2539" spans="1:16" s="154" customFormat="1" ht="12">
      <c r="A2539" s="92"/>
      <c r="B2539" s="92"/>
      <c r="C2539" s="92"/>
      <c r="D2539" s="92"/>
      <c r="E2539" s="92"/>
      <c r="F2539" s="92"/>
      <c r="G2539" s="92"/>
      <c r="H2539" s="92"/>
      <c r="I2539" s="92"/>
      <c r="J2539" s="92"/>
      <c r="K2539" s="92"/>
      <c r="L2539" s="92"/>
      <c r="M2539" s="92"/>
      <c r="N2539" s="92"/>
      <c r="O2539" s="92"/>
      <c r="P2539" s="92"/>
    </row>
    <row r="2540" spans="1:16" s="154" customFormat="1" ht="12">
      <c r="A2540" s="92"/>
      <c r="B2540" s="92"/>
      <c r="C2540" s="92"/>
      <c r="D2540" s="92"/>
      <c r="E2540" s="92"/>
      <c r="F2540" s="92"/>
      <c r="G2540" s="92"/>
      <c r="H2540" s="92"/>
      <c r="I2540" s="92"/>
      <c r="J2540" s="92"/>
      <c r="K2540" s="92"/>
      <c r="L2540" s="92"/>
      <c r="M2540" s="92"/>
      <c r="N2540" s="92"/>
      <c r="O2540" s="92"/>
      <c r="P2540" s="92"/>
    </row>
    <row r="2541" spans="1:16" s="154" customFormat="1" ht="12">
      <c r="A2541" s="92"/>
      <c r="B2541" s="92"/>
      <c r="C2541" s="92"/>
      <c r="D2541" s="92"/>
      <c r="E2541" s="92"/>
      <c r="F2541" s="92"/>
      <c r="G2541" s="92"/>
      <c r="H2541" s="92"/>
      <c r="I2541" s="92"/>
      <c r="J2541" s="92"/>
      <c r="K2541" s="92"/>
      <c r="L2541" s="92"/>
      <c r="M2541" s="92"/>
      <c r="N2541" s="92"/>
      <c r="O2541" s="92"/>
      <c r="P2541" s="92"/>
    </row>
    <row r="2542" spans="1:16" s="154" customFormat="1" ht="12">
      <c r="A2542" s="92"/>
      <c r="B2542" s="92"/>
      <c r="C2542" s="92"/>
      <c r="D2542" s="92"/>
      <c r="E2542" s="92"/>
      <c r="F2542" s="92"/>
      <c r="G2542" s="92"/>
      <c r="H2542" s="92"/>
      <c r="I2542" s="92"/>
      <c r="J2542" s="92"/>
      <c r="K2542" s="92"/>
      <c r="L2542" s="92"/>
      <c r="M2542" s="92"/>
      <c r="N2542" s="92"/>
      <c r="O2542" s="92"/>
      <c r="P2542" s="92"/>
    </row>
    <row r="2543" spans="1:16" s="154" customFormat="1" ht="12">
      <c r="A2543" s="92"/>
      <c r="B2543" s="92"/>
      <c r="C2543" s="92"/>
      <c r="D2543" s="92"/>
      <c r="E2543" s="92"/>
      <c r="F2543" s="92"/>
      <c r="G2543" s="92"/>
      <c r="H2543" s="92"/>
      <c r="I2543" s="92"/>
      <c r="J2543" s="92"/>
      <c r="K2543" s="92"/>
      <c r="L2543" s="92"/>
      <c r="M2543" s="92"/>
      <c r="N2543" s="92"/>
      <c r="O2543" s="92"/>
      <c r="P2543" s="92"/>
    </row>
    <row r="2544" spans="1:16" s="154" customFormat="1" ht="12">
      <c r="A2544" s="92"/>
      <c r="B2544" s="92"/>
      <c r="C2544" s="92"/>
      <c r="D2544" s="92"/>
      <c r="E2544" s="92"/>
      <c r="F2544" s="92"/>
      <c r="G2544" s="92"/>
      <c r="H2544" s="92"/>
      <c r="I2544" s="92"/>
      <c r="J2544" s="92"/>
      <c r="K2544" s="92"/>
      <c r="L2544" s="92"/>
      <c r="M2544" s="92"/>
      <c r="N2544" s="92"/>
      <c r="O2544" s="92"/>
      <c r="P2544" s="92"/>
    </row>
    <row r="2545" spans="1:16" s="154" customFormat="1" ht="12">
      <c r="A2545" s="92"/>
      <c r="B2545" s="92"/>
      <c r="C2545" s="92"/>
      <c r="D2545" s="92"/>
      <c r="E2545" s="92"/>
      <c r="F2545" s="92"/>
      <c r="G2545" s="92"/>
      <c r="H2545" s="92"/>
      <c r="I2545" s="92"/>
      <c r="J2545" s="92"/>
      <c r="K2545" s="92"/>
      <c r="L2545" s="92"/>
      <c r="M2545" s="92"/>
      <c r="N2545" s="92"/>
      <c r="O2545" s="92"/>
      <c r="P2545" s="92"/>
    </row>
    <row r="2546" spans="1:16" s="154" customFormat="1" ht="12">
      <c r="A2546" s="92"/>
      <c r="B2546" s="92"/>
      <c r="C2546" s="92"/>
      <c r="D2546" s="92"/>
      <c r="E2546" s="92"/>
      <c r="F2546" s="92"/>
      <c r="G2546" s="92"/>
      <c r="H2546" s="92"/>
      <c r="I2546" s="92"/>
      <c r="J2546" s="92"/>
      <c r="K2546" s="92"/>
      <c r="L2546" s="92"/>
      <c r="M2546" s="92"/>
      <c r="N2546" s="92"/>
      <c r="O2546" s="92"/>
      <c r="P2546" s="92"/>
    </row>
    <row r="2547" spans="1:16" s="154" customFormat="1" ht="12">
      <c r="A2547" s="92"/>
      <c r="B2547" s="92"/>
      <c r="C2547" s="92"/>
      <c r="D2547" s="92"/>
      <c r="E2547" s="92"/>
      <c r="F2547" s="92"/>
      <c r="G2547" s="92"/>
      <c r="H2547" s="92"/>
      <c r="I2547" s="92"/>
      <c r="J2547" s="92"/>
      <c r="K2547" s="92"/>
      <c r="L2547" s="92"/>
      <c r="M2547" s="92"/>
      <c r="N2547" s="92"/>
      <c r="O2547" s="92"/>
      <c r="P2547" s="92"/>
    </row>
    <row r="2548" spans="1:16" s="154" customFormat="1" ht="12">
      <c r="A2548" s="92"/>
      <c r="B2548" s="92"/>
      <c r="C2548" s="92"/>
      <c r="D2548" s="92"/>
      <c r="E2548" s="92"/>
      <c r="F2548" s="92"/>
      <c r="G2548" s="92"/>
      <c r="H2548" s="92"/>
      <c r="I2548" s="92"/>
      <c r="J2548" s="92"/>
      <c r="K2548" s="92"/>
      <c r="L2548" s="92"/>
      <c r="M2548" s="92"/>
      <c r="N2548" s="92"/>
      <c r="O2548" s="92"/>
      <c r="P2548" s="92"/>
    </row>
    <row r="2549" spans="1:16" s="154" customFormat="1" ht="12">
      <c r="A2549" s="92"/>
      <c r="B2549" s="92"/>
      <c r="C2549" s="92"/>
      <c r="D2549" s="92"/>
      <c r="E2549" s="92"/>
      <c r="F2549" s="92"/>
      <c r="G2549" s="92"/>
      <c r="H2549" s="92"/>
      <c r="I2549" s="92"/>
      <c r="J2549" s="92"/>
      <c r="K2549" s="92"/>
      <c r="L2549" s="92"/>
      <c r="M2549" s="92"/>
      <c r="N2549" s="92"/>
      <c r="O2549" s="92"/>
      <c r="P2549" s="92"/>
    </row>
    <row r="2550" spans="1:16" s="154" customFormat="1" ht="12">
      <c r="A2550" s="92"/>
      <c r="B2550" s="92"/>
      <c r="C2550" s="92"/>
      <c r="D2550" s="92"/>
      <c r="E2550" s="92"/>
      <c r="F2550" s="92"/>
      <c r="G2550" s="92"/>
      <c r="H2550" s="92"/>
      <c r="I2550" s="92"/>
      <c r="J2550" s="92"/>
      <c r="K2550" s="92"/>
      <c r="L2550" s="92"/>
      <c r="M2550" s="92"/>
      <c r="N2550" s="92"/>
      <c r="O2550" s="92"/>
      <c r="P2550" s="92"/>
    </row>
    <row r="2551" spans="1:16" s="154" customFormat="1" ht="12">
      <c r="A2551" s="92"/>
      <c r="B2551" s="92"/>
      <c r="C2551" s="92"/>
      <c r="D2551" s="92"/>
      <c r="E2551" s="92"/>
      <c r="F2551" s="92"/>
      <c r="G2551" s="92"/>
      <c r="H2551" s="92"/>
      <c r="I2551" s="92"/>
      <c r="J2551" s="92"/>
      <c r="K2551" s="92"/>
      <c r="L2551" s="92"/>
      <c r="M2551" s="92"/>
      <c r="N2551" s="92"/>
      <c r="O2551" s="92"/>
      <c r="P2551" s="92"/>
    </row>
    <row r="2552" spans="1:16" s="154" customFormat="1" ht="12">
      <c r="A2552" s="92"/>
      <c r="B2552" s="92"/>
      <c r="C2552" s="92"/>
      <c r="D2552" s="92"/>
      <c r="E2552" s="92"/>
      <c r="F2552" s="92"/>
      <c r="G2552" s="92"/>
      <c r="H2552" s="92"/>
      <c r="I2552" s="92"/>
      <c r="J2552" s="92"/>
      <c r="K2552" s="92"/>
      <c r="L2552" s="92"/>
      <c r="M2552" s="92"/>
      <c r="N2552" s="92"/>
      <c r="O2552" s="92"/>
      <c r="P2552" s="92"/>
    </row>
    <row r="2553" spans="1:16" s="154" customFormat="1" ht="12">
      <c r="A2553" s="92"/>
      <c r="B2553" s="92"/>
      <c r="C2553" s="92"/>
      <c r="D2553" s="92"/>
      <c r="E2553" s="92"/>
      <c r="F2553" s="92"/>
      <c r="G2553" s="92"/>
      <c r="H2553" s="92"/>
      <c r="I2553" s="92"/>
      <c r="J2553" s="92"/>
      <c r="K2553" s="92"/>
      <c r="L2553" s="92"/>
      <c r="M2553" s="92"/>
      <c r="N2553" s="92"/>
      <c r="O2553" s="92"/>
      <c r="P2553" s="92"/>
    </row>
    <row r="2554" spans="1:16" s="154" customFormat="1" ht="12">
      <c r="A2554" s="92"/>
      <c r="B2554" s="92"/>
      <c r="C2554" s="92"/>
      <c r="D2554" s="92"/>
      <c r="E2554" s="92"/>
      <c r="F2554" s="92"/>
      <c r="G2554" s="92"/>
      <c r="H2554" s="92"/>
      <c r="I2554" s="92"/>
      <c r="J2554" s="92"/>
      <c r="K2554" s="92"/>
      <c r="L2554" s="92"/>
      <c r="M2554" s="92"/>
      <c r="N2554" s="92"/>
      <c r="O2554" s="92"/>
      <c r="P2554" s="92"/>
    </row>
    <row r="2555" spans="1:16" s="154" customFormat="1" ht="12">
      <c r="A2555" s="92"/>
      <c r="B2555" s="92"/>
      <c r="C2555" s="92"/>
      <c r="D2555" s="92"/>
      <c r="E2555" s="92"/>
      <c r="F2555" s="92"/>
      <c r="G2555" s="92"/>
      <c r="H2555" s="92"/>
      <c r="I2555" s="92"/>
      <c r="J2555" s="92"/>
      <c r="K2555" s="92"/>
      <c r="L2555" s="92"/>
      <c r="M2555" s="92"/>
      <c r="N2555" s="92"/>
      <c r="O2555" s="92"/>
      <c r="P2555" s="92"/>
    </row>
    <row r="2556" spans="1:16" s="154" customFormat="1" ht="12">
      <c r="A2556" s="92"/>
      <c r="B2556" s="92"/>
      <c r="C2556" s="92"/>
      <c r="D2556" s="92"/>
      <c r="E2556" s="92"/>
      <c r="F2556" s="92"/>
      <c r="G2556" s="92"/>
      <c r="H2556" s="92"/>
      <c r="I2556" s="92"/>
      <c r="J2556" s="92"/>
      <c r="K2556" s="92"/>
      <c r="L2556" s="92"/>
      <c r="M2556" s="92"/>
      <c r="N2556" s="92"/>
      <c r="O2556" s="92"/>
      <c r="P2556" s="92"/>
    </row>
    <row r="2557" spans="1:16" s="154" customFormat="1" ht="12">
      <c r="A2557" s="92"/>
      <c r="B2557" s="92"/>
      <c r="C2557" s="92"/>
      <c r="D2557" s="92"/>
      <c r="E2557" s="92"/>
      <c r="F2557" s="92"/>
      <c r="G2557" s="92"/>
      <c r="H2557" s="92"/>
      <c r="I2557" s="92"/>
      <c r="J2557" s="92"/>
      <c r="K2557" s="92"/>
      <c r="L2557" s="92"/>
      <c r="M2557" s="92"/>
      <c r="N2557" s="92"/>
      <c r="O2557" s="92"/>
      <c r="P2557" s="92"/>
    </row>
    <row r="2558" spans="1:16" s="154" customFormat="1" ht="12">
      <c r="A2558" s="92"/>
      <c r="B2558" s="92"/>
      <c r="C2558" s="92"/>
      <c r="D2558" s="92"/>
      <c r="E2558" s="92"/>
      <c r="F2558" s="92"/>
      <c r="G2558" s="92"/>
      <c r="H2558" s="92"/>
      <c r="I2558" s="92"/>
      <c r="J2558" s="92"/>
      <c r="K2558" s="92"/>
      <c r="L2558" s="92"/>
      <c r="M2558" s="92"/>
      <c r="N2558" s="92"/>
      <c r="O2558" s="92"/>
      <c r="P2558" s="92"/>
    </row>
    <row r="2559" spans="1:16" s="154" customFormat="1" ht="12">
      <c r="A2559" s="92"/>
      <c r="B2559" s="92"/>
      <c r="C2559" s="92"/>
      <c r="D2559" s="92"/>
      <c r="E2559" s="92"/>
      <c r="F2559" s="92"/>
      <c r="G2559" s="92"/>
      <c r="H2559" s="92"/>
      <c r="I2559" s="92"/>
      <c r="J2559" s="92"/>
      <c r="K2559" s="92"/>
      <c r="L2559" s="92"/>
      <c r="M2559" s="92"/>
      <c r="N2559" s="92"/>
      <c r="O2559" s="92"/>
      <c r="P2559" s="92"/>
    </row>
    <row r="2560" spans="1:16" s="154" customFormat="1" ht="12">
      <c r="A2560" s="92"/>
      <c r="B2560" s="92"/>
      <c r="C2560" s="92"/>
      <c r="D2560" s="92"/>
      <c r="E2560" s="92"/>
      <c r="F2560" s="92"/>
      <c r="G2560" s="92"/>
      <c r="H2560" s="92"/>
      <c r="I2560" s="92"/>
      <c r="J2560" s="92"/>
      <c r="K2560" s="92"/>
      <c r="L2560" s="92"/>
      <c r="M2560" s="92"/>
      <c r="N2560" s="92"/>
      <c r="O2560" s="92"/>
      <c r="P2560" s="92"/>
    </row>
    <row r="2561" spans="1:16" s="154" customFormat="1" ht="12">
      <c r="A2561" s="92"/>
      <c r="B2561" s="92"/>
      <c r="C2561" s="92"/>
      <c r="D2561" s="92"/>
      <c r="E2561" s="92"/>
      <c r="F2561" s="92"/>
      <c r="G2561" s="92"/>
      <c r="H2561" s="92"/>
      <c r="I2561" s="92"/>
      <c r="J2561" s="92"/>
      <c r="K2561" s="92"/>
      <c r="L2561" s="92"/>
      <c r="M2561" s="92"/>
      <c r="N2561" s="92"/>
      <c r="O2561" s="92"/>
      <c r="P2561" s="92"/>
    </row>
    <row r="2562" spans="1:16" s="154" customFormat="1" ht="12">
      <c r="A2562" s="92"/>
      <c r="B2562" s="92"/>
      <c r="C2562" s="92"/>
      <c r="D2562" s="92"/>
      <c r="E2562" s="92"/>
      <c r="F2562" s="92"/>
      <c r="G2562" s="92"/>
      <c r="H2562" s="92"/>
      <c r="I2562" s="92"/>
      <c r="J2562" s="92"/>
      <c r="K2562" s="92"/>
      <c r="L2562" s="92"/>
      <c r="M2562" s="92"/>
      <c r="N2562" s="92"/>
      <c r="O2562" s="92"/>
      <c r="P2562" s="92"/>
    </row>
    <row r="2563" spans="1:16" s="154" customFormat="1" ht="12">
      <c r="A2563" s="92"/>
      <c r="B2563" s="92"/>
      <c r="C2563" s="92"/>
      <c r="D2563" s="92"/>
      <c r="E2563" s="92"/>
      <c r="F2563" s="92"/>
      <c r="G2563" s="92"/>
      <c r="H2563" s="92"/>
      <c r="I2563" s="92"/>
      <c r="J2563" s="92"/>
      <c r="K2563" s="92"/>
      <c r="L2563" s="92"/>
      <c r="M2563" s="92"/>
      <c r="N2563" s="92"/>
      <c r="O2563" s="92"/>
      <c r="P2563" s="92"/>
    </row>
    <row r="2564" spans="1:16" s="154" customFormat="1" ht="12">
      <c r="A2564" s="92"/>
      <c r="B2564" s="92"/>
      <c r="C2564" s="92"/>
      <c r="D2564" s="92"/>
      <c r="E2564" s="92"/>
      <c r="F2564" s="92"/>
      <c r="G2564" s="92"/>
      <c r="H2564" s="92"/>
      <c r="I2564" s="92"/>
      <c r="J2564" s="92"/>
      <c r="K2564" s="92"/>
      <c r="L2564" s="92"/>
      <c r="M2564" s="92"/>
      <c r="N2564" s="92"/>
      <c r="O2564" s="92"/>
      <c r="P2564" s="92"/>
    </row>
    <row r="2565" spans="1:16" s="154" customFormat="1" ht="12">
      <c r="A2565" s="92"/>
      <c r="B2565" s="92"/>
      <c r="C2565" s="92"/>
      <c r="D2565" s="92"/>
      <c r="E2565" s="92"/>
      <c r="F2565" s="92"/>
      <c r="G2565" s="92"/>
      <c r="H2565" s="92"/>
      <c r="I2565" s="92"/>
      <c r="J2565" s="92"/>
      <c r="K2565" s="92"/>
      <c r="L2565" s="92"/>
      <c r="M2565" s="92"/>
      <c r="N2565" s="92"/>
      <c r="O2565" s="92"/>
      <c r="P2565" s="92"/>
    </row>
    <row r="2566" spans="1:16" s="154" customFormat="1" ht="12">
      <c r="A2566" s="92"/>
      <c r="B2566" s="92"/>
      <c r="C2566" s="92"/>
      <c r="D2566" s="92"/>
      <c r="E2566" s="92"/>
      <c r="F2566" s="92"/>
      <c r="G2566" s="92"/>
      <c r="H2566" s="92"/>
      <c r="I2566" s="92"/>
      <c r="J2566" s="92"/>
      <c r="K2566" s="92"/>
      <c r="L2566" s="92"/>
      <c r="M2566" s="92"/>
      <c r="N2566" s="92"/>
      <c r="O2566" s="92"/>
      <c r="P2566" s="92"/>
    </row>
    <row r="2567" spans="1:16" s="154" customFormat="1" ht="12">
      <c r="A2567" s="92"/>
      <c r="B2567" s="92"/>
      <c r="C2567" s="92"/>
      <c r="D2567" s="92"/>
      <c r="E2567" s="92"/>
      <c r="F2567" s="92"/>
      <c r="G2567" s="92"/>
      <c r="H2567" s="92"/>
      <c r="I2567" s="92"/>
      <c r="J2567" s="92"/>
      <c r="K2567" s="92"/>
      <c r="L2567" s="92"/>
      <c r="M2567" s="92"/>
      <c r="N2567" s="92"/>
      <c r="O2567" s="92"/>
      <c r="P2567" s="92"/>
    </row>
    <row r="2568" spans="1:16" s="154" customFormat="1" ht="12">
      <c r="A2568" s="92"/>
      <c r="B2568" s="92"/>
      <c r="C2568" s="92"/>
      <c r="D2568" s="92"/>
      <c r="E2568" s="92"/>
      <c r="F2568" s="92"/>
      <c r="G2568" s="92"/>
      <c r="H2568" s="92"/>
      <c r="I2568" s="92"/>
      <c r="J2568" s="92"/>
      <c r="K2568" s="92"/>
      <c r="L2568" s="92"/>
      <c r="M2568" s="92"/>
      <c r="N2568" s="92"/>
      <c r="O2568" s="92"/>
      <c r="P2568" s="92"/>
    </row>
    <row r="2569" spans="1:16" s="154" customFormat="1" ht="12">
      <c r="A2569" s="92"/>
      <c r="B2569" s="92"/>
      <c r="C2569" s="92"/>
      <c r="D2569" s="92"/>
      <c r="E2569" s="92"/>
      <c r="F2569" s="92"/>
      <c r="G2569" s="92"/>
      <c r="H2569" s="92"/>
      <c r="I2569" s="92"/>
      <c r="J2569" s="92"/>
      <c r="K2569" s="92"/>
      <c r="L2569" s="92"/>
      <c r="M2569" s="92"/>
      <c r="N2569" s="92"/>
      <c r="O2569" s="92"/>
      <c r="P2569" s="92"/>
    </row>
    <row r="2570" spans="1:16" s="154" customFormat="1" ht="12">
      <c r="A2570" s="92"/>
      <c r="B2570" s="92"/>
      <c r="C2570" s="92"/>
      <c r="D2570" s="92"/>
      <c r="E2570" s="92"/>
      <c r="F2570" s="92"/>
      <c r="G2570" s="92"/>
      <c r="H2570" s="92"/>
      <c r="I2570" s="92"/>
      <c r="J2570" s="92"/>
      <c r="K2570" s="92"/>
      <c r="L2570" s="92"/>
      <c r="M2570" s="92"/>
      <c r="N2570" s="92"/>
      <c r="O2570" s="92"/>
      <c r="P2570" s="92"/>
    </row>
    <row r="2571" spans="1:16" s="154" customFormat="1" ht="12">
      <c r="A2571" s="92"/>
      <c r="B2571" s="92"/>
      <c r="C2571" s="92"/>
      <c r="D2571" s="92"/>
      <c r="E2571" s="92"/>
      <c r="F2571" s="92"/>
      <c r="G2571" s="92"/>
      <c r="H2571" s="92"/>
      <c r="I2571" s="92"/>
      <c r="J2571" s="92"/>
      <c r="K2571" s="92"/>
      <c r="L2571" s="92"/>
      <c r="M2571" s="92"/>
      <c r="N2571" s="92"/>
      <c r="O2571" s="92"/>
      <c r="P2571" s="92"/>
    </row>
    <row r="2572" spans="1:16" s="154" customFormat="1" ht="12">
      <c r="A2572" s="92"/>
      <c r="B2572" s="92"/>
      <c r="C2572" s="92"/>
      <c r="D2572" s="92"/>
      <c r="E2572" s="92"/>
      <c r="F2572" s="92"/>
      <c r="G2572" s="92"/>
      <c r="H2572" s="92"/>
      <c r="I2572" s="92"/>
      <c r="J2572" s="92"/>
      <c r="K2572" s="92"/>
      <c r="L2572" s="92"/>
      <c r="M2572" s="92"/>
      <c r="N2572" s="92"/>
      <c r="O2572" s="92"/>
      <c r="P2572" s="92"/>
    </row>
    <row r="2573" spans="1:16" s="154" customFormat="1" ht="12">
      <c r="A2573" s="92"/>
      <c r="B2573" s="92"/>
      <c r="C2573" s="92"/>
      <c r="D2573" s="92"/>
      <c r="E2573" s="92"/>
      <c r="F2573" s="92"/>
      <c r="G2573" s="92"/>
      <c r="H2573" s="92"/>
      <c r="I2573" s="92"/>
      <c r="J2573" s="92"/>
      <c r="K2573" s="92"/>
      <c r="L2573" s="92"/>
      <c r="M2573" s="92"/>
      <c r="N2573" s="92"/>
      <c r="O2573" s="92"/>
      <c r="P2573" s="92"/>
    </row>
    <row r="2574" spans="1:16" s="154" customFormat="1" ht="12">
      <c r="A2574" s="92"/>
      <c r="B2574" s="92"/>
      <c r="C2574" s="92"/>
      <c r="D2574" s="92"/>
      <c r="E2574" s="92"/>
      <c r="F2574" s="92"/>
      <c r="G2574" s="92"/>
      <c r="H2574" s="92"/>
      <c r="I2574" s="92"/>
      <c r="J2574" s="92"/>
      <c r="K2574" s="92"/>
      <c r="L2574" s="92"/>
      <c r="M2574" s="92"/>
      <c r="N2574" s="92"/>
      <c r="O2574" s="92"/>
      <c r="P2574" s="92"/>
    </row>
    <row r="2575" spans="1:16" s="154" customFormat="1" ht="12">
      <c r="A2575" s="92"/>
      <c r="B2575" s="92"/>
      <c r="C2575" s="92"/>
      <c r="D2575" s="92"/>
      <c r="E2575" s="92"/>
      <c r="F2575" s="92"/>
      <c r="G2575" s="92"/>
      <c r="H2575" s="92"/>
      <c r="I2575" s="92"/>
      <c r="J2575" s="92"/>
      <c r="K2575" s="92"/>
      <c r="L2575" s="92"/>
      <c r="M2575" s="92"/>
      <c r="N2575" s="92"/>
      <c r="O2575" s="92"/>
      <c r="P2575" s="92"/>
    </row>
    <row r="2576" spans="1:16" s="154" customFormat="1" ht="12">
      <c r="A2576" s="92"/>
      <c r="B2576" s="92"/>
      <c r="C2576" s="92"/>
      <c r="D2576" s="92"/>
      <c r="E2576" s="92"/>
      <c r="F2576" s="92"/>
      <c r="G2576" s="92"/>
      <c r="H2576" s="92"/>
      <c r="I2576" s="92"/>
      <c r="J2576" s="92"/>
      <c r="K2576" s="92"/>
      <c r="L2576" s="92"/>
      <c r="M2576" s="92"/>
      <c r="N2576" s="92"/>
      <c r="O2576" s="92"/>
      <c r="P2576" s="92"/>
    </row>
    <row r="2577" spans="1:16" s="154" customFormat="1" ht="12">
      <c r="A2577" s="92"/>
      <c r="B2577" s="92"/>
      <c r="C2577" s="92"/>
      <c r="D2577" s="92"/>
      <c r="E2577" s="92"/>
      <c r="F2577" s="92"/>
      <c r="G2577" s="92"/>
      <c r="H2577" s="92"/>
      <c r="I2577" s="92"/>
      <c r="J2577" s="92"/>
      <c r="K2577" s="92"/>
      <c r="L2577" s="92"/>
      <c r="M2577" s="92"/>
      <c r="N2577" s="92"/>
      <c r="O2577" s="92"/>
      <c r="P2577" s="92"/>
    </row>
    <row r="2578" spans="1:16" s="154" customFormat="1" ht="12">
      <c r="A2578" s="92"/>
      <c r="B2578" s="92"/>
      <c r="C2578" s="92"/>
      <c r="D2578" s="92"/>
      <c r="E2578" s="92"/>
      <c r="F2578" s="92"/>
      <c r="G2578" s="92"/>
      <c r="H2578" s="92"/>
      <c r="I2578" s="92"/>
      <c r="J2578" s="92"/>
      <c r="K2578" s="92"/>
      <c r="L2578" s="92"/>
      <c r="M2578" s="92"/>
      <c r="N2578" s="92"/>
      <c r="O2578" s="92"/>
      <c r="P2578" s="92"/>
    </row>
    <row r="2579" spans="1:16" s="154" customFormat="1" ht="12">
      <c r="A2579" s="92"/>
      <c r="B2579" s="92"/>
      <c r="C2579" s="92"/>
      <c r="D2579" s="92"/>
      <c r="E2579" s="92"/>
      <c r="F2579" s="92"/>
      <c r="G2579" s="92"/>
      <c r="H2579" s="92"/>
      <c r="I2579" s="92"/>
      <c r="J2579" s="92"/>
      <c r="K2579" s="92"/>
      <c r="L2579" s="92"/>
      <c r="M2579" s="92"/>
      <c r="N2579" s="92"/>
      <c r="O2579" s="92"/>
      <c r="P2579" s="92"/>
    </row>
    <row r="2580" spans="1:16" s="154" customFormat="1" ht="12">
      <c r="A2580" s="92"/>
      <c r="B2580" s="92"/>
      <c r="C2580" s="92"/>
      <c r="D2580" s="92"/>
      <c r="E2580" s="92"/>
      <c r="F2580" s="92"/>
      <c r="G2580" s="92"/>
      <c r="H2580" s="92"/>
      <c r="I2580" s="92"/>
      <c r="J2580" s="92"/>
      <c r="K2580" s="92"/>
      <c r="L2580" s="92"/>
      <c r="M2580" s="92"/>
      <c r="N2580" s="92"/>
      <c r="O2580" s="92"/>
      <c r="P2580" s="92"/>
    </row>
  </sheetData>
  <sheetProtection password="C631" sheet="1" formatCells="0" formatColumns="0" formatRows="0"/>
  <mergeCells count="42">
    <mergeCell ref="L6:O6"/>
    <mergeCell ref="D6:F6"/>
    <mergeCell ref="L3:O3"/>
    <mergeCell ref="H64:I64"/>
    <mergeCell ref="J14:O14"/>
    <mergeCell ref="N15:O15"/>
    <mergeCell ref="C18:D18"/>
    <mergeCell ref="K22:O22"/>
    <mergeCell ref="M36:O36"/>
    <mergeCell ref="M33:O33"/>
    <mergeCell ref="N35:O35"/>
    <mergeCell ref="H65:I65"/>
    <mergeCell ref="J64:K64"/>
    <mergeCell ref="J65:K65"/>
    <mergeCell ref="C36:K36"/>
    <mergeCell ref="D57:E57"/>
    <mergeCell ref="C35:L35"/>
    <mergeCell ref="N8:O8"/>
    <mergeCell ref="N7:O7"/>
    <mergeCell ref="C7:L7"/>
    <mergeCell ref="C8:L8"/>
    <mergeCell ref="C15:H15"/>
    <mergeCell ref="C27:F27"/>
    <mergeCell ref="A23:O23"/>
    <mergeCell ref="A24:O24"/>
    <mergeCell ref="D22:F22"/>
    <mergeCell ref="B29:L29"/>
    <mergeCell ref="G18:H18"/>
    <mergeCell ref="G16:H16"/>
    <mergeCell ref="D16:E16"/>
    <mergeCell ref="G17:H17"/>
    <mergeCell ref="N32:O32"/>
    <mergeCell ref="A3:K3"/>
    <mergeCell ref="C33:I33"/>
    <mergeCell ref="N29:O29"/>
    <mergeCell ref="N28:O28"/>
    <mergeCell ref="F32:L32"/>
    <mergeCell ref="N9:O9"/>
    <mergeCell ref="D10:G10"/>
    <mergeCell ref="D14:E14"/>
    <mergeCell ref="D9:G9"/>
    <mergeCell ref="K10:O10"/>
  </mergeCells>
  <printOptions horizontalCentered="1"/>
  <pageMargins left="0.3937007874015748" right="0.4330708661417323" top="0.28" bottom="0.59" header="0.18" footer="0.3937007874015748"/>
  <pageSetup fitToHeight="1" fitToWidth="1" horizontalDpi="300" verticalDpi="300" orientation="portrait" paperSize="9" scale="90" r:id="rId3"/>
  <headerFooter alignWithMargins="0">
    <oddFooter>&amp;RVersion 4.0/2009</oddFooter>
  </headerFooter>
  <rowBreaks count="1" manualBreakCount="1">
    <brk id="134" max="655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R59"/>
  <sheetViews>
    <sheetView showGridLines="0" showZeros="0" zoomScalePageLayoutView="0" workbookViewId="0" topLeftCell="A1">
      <selection activeCell="B15" sqref="B15:E15"/>
    </sheetView>
  </sheetViews>
  <sheetFormatPr defaultColWidth="11.421875" defaultRowHeight="12.75"/>
  <cols>
    <col min="1" max="1" width="13.57421875" style="0" customWidth="1"/>
    <col min="3" max="3" width="10.140625" style="0" customWidth="1"/>
    <col min="4" max="4" width="11.7109375" style="0" customWidth="1"/>
    <col min="5" max="5" width="10.00390625" style="0" bestFit="1" customWidth="1"/>
    <col min="6" max="6" width="6.421875" style="0" customWidth="1"/>
    <col min="7" max="7" width="17.28125" style="0" customWidth="1"/>
    <col min="8" max="8" width="15.00390625" style="0" customWidth="1"/>
    <col min="9" max="9" width="7.7109375" style="0" customWidth="1"/>
    <col min="10" max="10" width="21.8515625" style="0" bestFit="1" customWidth="1"/>
    <col min="12" max="12" width="12.00390625" style="0" customWidth="1"/>
  </cols>
  <sheetData>
    <row r="1" spans="1:6" ht="12.75">
      <c r="A1" s="201" t="s">
        <v>57</v>
      </c>
      <c r="B1" s="4"/>
      <c r="C1" s="4"/>
      <c r="D1" s="4"/>
      <c r="E1" s="4"/>
      <c r="F1" s="4"/>
    </row>
    <row r="2" spans="1:6" ht="12.75">
      <c r="A2" s="201"/>
      <c r="B2" s="4"/>
      <c r="C2" s="4"/>
      <c r="D2" s="4"/>
      <c r="E2" s="4"/>
      <c r="F2" s="4"/>
    </row>
    <row r="3" spans="1:9" ht="12.75">
      <c r="A3" s="128" t="s">
        <v>58</v>
      </c>
      <c r="B3" s="425"/>
      <c r="C3" s="425"/>
      <c r="D3" s="425"/>
      <c r="E3" s="954"/>
      <c r="F3" s="954"/>
      <c r="G3" s="954"/>
      <c r="H3" s="954"/>
      <c r="I3" s="4"/>
    </row>
    <row r="4" spans="1:9" ht="12.75">
      <c r="A4" s="954"/>
      <c r="B4" s="954"/>
      <c r="C4" s="954"/>
      <c r="D4" s="954"/>
      <c r="E4" s="954"/>
      <c r="F4" s="954"/>
      <c r="G4" s="954"/>
      <c r="H4" s="954"/>
      <c r="I4" s="4"/>
    </row>
    <row r="5" spans="1:9" ht="12.75">
      <c r="A5" s="955"/>
      <c r="B5" s="955"/>
      <c r="C5" s="955"/>
      <c r="D5" s="955"/>
      <c r="E5" s="955"/>
      <c r="F5" s="955"/>
      <c r="G5" s="955"/>
      <c r="H5" s="955"/>
      <c r="I5" s="4"/>
    </row>
    <row r="6" spans="1:9" ht="12.75">
      <c r="A6" s="955"/>
      <c r="B6" s="955"/>
      <c r="C6" s="955"/>
      <c r="D6" s="955"/>
      <c r="E6" s="955"/>
      <c r="F6" s="955"/>
      <c r="G6" s="955"/>
      <c r="H6" s="955"/>
      <c r="I6" s="4"/>
    </row>
    <row r="7" spans="1:9" ht="15.75" customHeight="1">
      <c r="A7" s="119" t="s">
        <v>59</v>
      </c>
      <c r="B7" s="425"/>
      <c r="C7" s="425"/>
      <c r="D7" s="425"/>
      <c r="E7" s="425"/>
      <c r="F7" s="425"/>
      <c r="G7" s="955"/>
      <c r="H7" s="955"/>
      <c r="I7" s="4"/>
    </row>
    <row r="8" spans="1:9" ht="12.75">
      <c r="A8" s="954"/>
      <c r="B8" s="954"/>
      <c r="C8" s="954"/>
      <c r="D8" s="954"/>
      <c r="E8" s="954"/>
      <c r="F8" s="954"/>
      <c r="G8" s="954"/>
      <c r="H8" s="954"/>
      <c r="I8" s="4"/>
    </row>
    <row r="9" spans="1:9" ht="12.75">
      <c r="A9" s="955"/>
      <c r="B9" s="955"/>
      <c r="C9" s="955"/>
      <c r="D9" s="955"/>
      <c r="E9" s="955"/>
      <c r="F9" s="955"/>
      <c r="G9" s="955"/>
      <c r="H9" s="955"/>
      <c r="I9" s="4"/>
    </row>
    <row r="10" spans="1:9" ht="12.75">
      <c r="A10" s="955"/>
      <c r="B10" s="955"/>
      <c r="C10" s="955"/>
      <c r="D10" s="955"/>
      <c r="E10" s="955"/>
      <c r="F10" s="955"/>
      <c r="G10" s="955"/>
      <c r="H10" s="955"/>
      <c r="I10" s="4"/>
    </row>
    <row r="11" ht="11.25" customHeight="1"/>
    <row r="12" ht="12.75">
      <c r="A12" s="63" t="s">
        <v>60</v>
      </c>
    </row>
    <row r="13" spans="1:18" ht="13.5" thickBot="1">
      <c r="A13" t="s">
        <v>61</v>
      </c>
      <c r="J13" s="598"/>
      <c r="K13" s="598"/>
      <c r="L13" s="598"/>
      <c r="M13" s="598"/>
      <c r="N13" s="598"/>
      <c r="O13" s="598"/>
      <c r="P13" s="598"/>
      <c r="Q13" s="598"/>
      <c r="R13" s="598"/>
    </row>
    <row r="14" spans="1:18" ht="39.75" thickBot="1">
      <c r="A14" s="645" t="s">
        <v>62</v>
      </c>
      <c r="B14" s="491" t="s">
        <v>63</v>
      </c>
      <c r="C14" s="646" t="s">
        <v>64</v>
      </c>
      <c r="D14" s="646" t="s">
        <v>65</v>
      </c>
      <c r="E14" s="491" t="s">
        <v>66</v>
      </c>
      <c r="F14" s="647" t="s">
        <v>454</v>
      </c>
      <c r="G14" s="646" t="s">
        <v>367</v>
      </c>
      <c r="H14" s="648" t="s">
        <v>363</v>
      </c>
      <c r="J14" s="598"/>
      <c r="K14" s="636"/>
      <c r="L14" s="598"/>
      <c r="M14" s="941" t="s">
        <v>364</v>
      </c>
      <c r="N14" s="942"/>
      <c r="O14" s="941" t="s">
        <v>365</v>
      </c>
      <c r="P14" s="942"/>
      <c r="Q14" s="941" t="s">
        <v>366</v>
      </c>
      <c r="R14" s="942"/>
    </row>
    <row r="15" spans="1:18" ht="12.75">
      <c r="A15" s="301">
        <v>1</v>
      </c>
      <c r="B15" s="868"/>
      <c r="C15" s="868"/>
      <c r="D15" s="868"/>
      <c r="E15" s="868"/>
      <c r="F15" s="586">
        <f>$B15+$C15</f>
        <v>0</v>
      </c>
      <c r="G15" s="868" t="s">
        <v>356</v>
      </c>
      <c r="H15" s="868" t="s">
        <v>368</v>
      </c>
      <c r="J15" s="598"/>
      <c r="K15" s="598"/>
      <c r="L15" s="598"/>
      <c r="M15" s="640" t="b">
        <f>OR(G15="fosse à purin",G15="fosse septique")</f>
        <v>1</v>
      </c>
      <c r="N15" s="639">
        <f>IF($M15=TRUE(),IF(H15="cond. normales",F15,0))</f>
        <v>0</v>
      </c>
      <c r="O15" s="638"/>
      <c r="P15" s="639">
        <f>IF($M15=TRUE(),IF(H15="instal. simples",F15,0))</f>
        <v>0</v>
      </c>
      <c r="Q15" s="638"/>
      <c r="R15" s="639">
        <f>IF($M15=TRUE(),IF(H15="cas particuliers",F15,0))</f>
        <v>0</v>
      </c>
    </row>
    <row r="16" spans="1:18" ht="12.75">
      <c r="A16" s="302">
        <v>2</v>
      </c>
      <c r="B16" s="869"/>
      <c r="C16" s="869"/>
      <c r="D16" s="869"/>
      <c r="E16" s="869"/>
      <c r="F16" s="67">
        <f>$B16+$C16</f>
        <v>0</v>
      </c>
      <c r="G16" s="869" t="s">
        <v>356</v>
      </c>
      <c r="H16" s="869" t="s">
        <v>368</v>
      </c>
      <c r="J16" s="598" t="s">
        <v>356</v>
      </c>
      <c r="K16" s="598"/>
      <c r="L16" s="598"/>
      <c r="M16" s="640" t="b">
        <f>OR(G16="fosse à purin",G16="fosse septique")</f>
        <v>1</v>
      </c>
      <c r="N16" s="641">
        <f>IF($M16=TRUE(),IF(H16="cond. normales",F16,0))</f>
        <v>0</v>
      </c>
      <c r="O16" s="640"/>
      <c r="P16" s="641">
        <f>IF($M16=TRUE(),IF(H16="instal. simples",F16,0))</f>
        <v>0</v>
      </c>
      <c r="Q16" s="640"/>
      <c r="R16" s="641">
        <f>IF($M16=TRUE(),IF(H16="cas particuliers",F16,0))</f>
        <v>0</v>
      </c>
    </row>
    <row r="17" spans="1:18" ht="12.75">
      <c r="A17" s="302">
        <v>3</v>
      </c>
      <c r="B17" s="869"/>
      <c r="C17" s="869"/>
      <c r="D17" s="869"/>
      <c r="E17" s="869"/>
      <c r="F17" s="67">
        <f>$B17+$C17</f>
        <v>0</v>
      </c>
      <c r="G17" s="869" t="s">
        <v>356</v>
      </c>
      <c r="H17" s="869" t="s">
        <v>368</v>
      </c>
      <c r="J17" s="598" t="s">
        <v>357</v>
      </c>
      <c r="K17" s="598"/>
      <c r="L17" s="598"/>
      <c r="M17" s="640" t="b">
        <f>OR(G17="fosse à purin",G17="fosse septique")</f>
        <v>1</v>
      </c>
      <c r="N17" s="641">
        <f>IF($M17=TRUE(),IF(H17="cond. normales",F17,0))</f>
        <v>0</v>
      </c>
      <c r="O17" s="640"/>
      <c r="P17" s="641">
        <f>IF($M17=TRUE(),IF(H17="instal. simples",F17,0))</f>
        <v>0</v>
      </c>
      <c r="Q17" s="640"/>
      <c r="R17" s="641">
        <f>IF($M17=TRUE(),IF(H17="cas particuliers",F17,0))</f>
        <v>0</v>
      </c>
    </row>
    <row r="18" spans="1:18" ht="12.75">
      <c r="A18" s="302">
        <v>4</v>
      </c>
      <c r="B18" s="869"/>
      <c r="C18" s="869"/>
      <c r="D18" s="869"/>
      <c r="E18" s="869"/>
      <c r="F18" s="67">
        <f>$B18+$C18</f>
        <v>0</v>
      </c>
      <c r="G18" s="869" t="s">
        <v>356</v>
      </c>
      <c r="H18" s="869" t="s">
        <v>368</v>
      </c>
      <c r="J18" s="598" t="s">
        <v>358</v>
      </c>
      <c r="K18" s="598"/>
      <c r="L18" s="598"/>
      <c r="M18" s="640" t="b">
        <f>OR(G18="fosse à purin",G18="fosse septique")</f>
        <v>1</v>
      </c>
      <c r="N18" s="641">
        <f>IF($M18=TRUE(),IF(H18="cond. normales",F18,0))</f>
        <v>0</v>
      </c>
      <c r="O18" s="640"/>
      <c r="P18" s="641">
        <f>IF($M18=TRUE(),IF(H18="instal. simples",F18,0))</f>
        <v>0</v>
      </c>
      <c r="Q18" s="640"/>
      <c r="R18" s="641">
        <f>IF($M18=TRUE(),IF(H18="cas particuliers",F18,0))</f>
        <v>0</v>
      </c>
    </row>
    <row r="19" spans="1:18" ht="13.5" thickBot="1">
      <c r="A19" s="303">
        <v>5</v>
      </c>
      <c r="B19" s="870"/>
      <c r="C19" s="870"/>
      <c r="D19" s="870"/>
      <c r="E19" s="870"/>
      <c r="F19" s="459">
        <f>$B19+$C19</f>
        <v>0</v>
      </c>
      <c r="G19" s="870" t="s">
        <v>356</v>
      </c>
      <c r="H19" s="870" t="s">
        <v>368</v>
      </c>
      <c r="J19" s="598" t="s">
        <v>359</v>
      </c>
      <c r="K19" s="598"/>
      <c r="L19" s="598"/>
      <c r="M19" s="640" t="b">
        <f>OR(G19="fosse à purin",G19="fosse septique")</f>
        <v>1</v>
      </c>
      <c r="N19" s="643">
        <f>IF($M19=TRUE(),IF(H19="cond. normales",F19,0))</f>
        <v>0</v>
      </c>
      <c r="O19" s="642"/>
      <c r="P19" s="643">
        <f>IF($M19=TRUE(),IF(H19="instal. simples",F19,0))</f>
        <v>0</v>
      </c>
      <c r="Q19" s="642"/>
      <c r="R19" s="643">
        <f>IF($M19=TRUE(),IF(H19="cas particuliers",F19,0))</f>
        <v>0</v>
      </c>
    </row>
    <row r="20" spans="1:18" ht="12.75">
      <c r="A20" s="617" t="s">
        <v>453</v>
      </c>
      <c r="J20" s="598" t="s">
        <v>360</v>
      </c>
      <c r="K20" s="598"/>
      <c r="L20" s="598"/>
      <c r="M20" s="637" t="s">
        <v>309</v>
      </c>
      <c r="N20" s="644">
        <f>SUM(N15:N19)</f>
        <v>0</v>
      </c>
      <c r="O20" s="637" t="s">
        <v>309</v>
      </c>
      <c r="P20" s="644">
        <f>SUM(P15:P19)</f>
        <v>0</v>
      </c>
      <c r="Q20" s="637" t="s">
        <v>309</v>
      </c>
      <c r="R20" s="644">
        <f>SUM(R15:R19)</f>
        <v>0</v>
      </c>
    </row>
    <row r="21" spans="3:18" ht="12.75">
      <c r="C21" s="312"/>
      <c r="E21" s="325"/>
      <c r="F21" s="325"/>
      <c r="J21" s="598"/>
      <c r="K21" s="598"/>
      <c r="L21" s="598"/>
      <c r="M21" s="598"/>
      <c r="N21" s="598"/>
      <c r="O21" s="598"/>
      <c r="P21" s="598"/>
      <c r="Q21" s="598"/>
      <c r="R21" s="598"/>
    </row>
    <row r="22" spans="10:18" ht="13.5" thickBot="1">
      <c r="J22" s="598"/>
      <c r="K22" s="598"/>
      <c r="L22" s="598"/>
      <c r="M22" s="598"/>
      <c r="N22" s="598"/>
      <c r="O22" s="598"/>
      <c r="P22" s="598"/>
      <c r="Q22" s="598"/>
      <c r="R22" s="598"/>
    </row>
    <row r="23" spans="1:18" ht="15.75" thickBot="1">
      <c r="A23" s="305" t="s">
        <v>67</v>
      </c>
      <c r="B23" s="306"/>
      <c r="C23" s="307" t="s">
        <v>68</v>
      </c>
      <c r="D23" s="306" t="s">
        <v>351</v>
      </c>
      <c r="E23" s="608" t="s">
        <v>293</v>
      </c>
      <c r="F23" s="4"/>
      <c r="J23" s="598"/>
      <c r="K23" s="598"/>
      <c r="L23" s="598"/>
      <c r="M23" s="598"/>
      <c r="N23" s="598"/>
      <c r="O23" s="598"/>
      <c r="P23" s="598"/>
      <c r="Q23" s="598"/>
      <c r="R23" s="598"/>
    </row>
    <row r="24" spans="1:18" ht="12.75">
      <c r="A24" s="375" t="s">
        <v>69</v>
      </c>
      <c r="B24" s="380"/>
      <c r="C24" s="630">
        <f>N20</f>
        <v>0</v>
      </c>
      <c r="D24" s="649">
        <v>50</v>
      </c>
      <c r="E24" s="461">
        <f>$C24*$D24</f>
        <v>0</v>
      </c>
      <c r="F24" s="4"/>
      <c r="G24" s="309"/>
      <c r="J24" s="598" t="s">
        <v>368</v>
      </c>
      <c r="K24" s="598"/>
      <c r="L24" s="598"/>
      <c r="M24" s="598"/>
      <c r="N24" s="598"/>
      <c r="O24" s="598"/>
      <c r="P24" s="598"/>
      <c r="Q24" s="598"/>
      <c r="R24" s="598"/>
    </row>
    <row r="25" spans="1:18" ht="12.75">
      <c r="A25" s="382" t="s">
        <v>70</v>
      </c>
      <c r="B25" s="379"/>
      <c r="C25" s="631">
        <f>P20</f>
        <v>0</v>
      </c>
      <c r="D25" s="431">
        <v>36</v>
      </c>
      <c r="E25" s="461">
        <f>$C25*$D25</f>
        <v>0</v>
      </c>
      <c r="F25" s="4"/>
      <c r="J25" s="598" t="s">
        <v>369</v>
      </c>
      <c r="K25" s="598"/>
      <c r="L25" s="598"/>
      <c r="M25" s="598"/>
      <c r="N25" s="598"/>
      <c r="O25" s="598"/>
      <c r="P25" s="598"/>
      <c r="Q25" s="598"/>
      <c r="R25" s="598"/>
    </row>
    <row r="26" spans="1:18" ht="13.5" thickBot="1">
      <c r="A26" s="382" t="s">
        <v>71</v>
      </c>
      <c r="B26" s="379"/>
      <c r="C26" s="631">
        <f>R20</f>
        <v>0</v>
      </c>
      <c r="D26" s="431">
        <v>20</v>
      </c>
      <c r="E26" s="461">
        <f>$C26*$D26</f>
        <v>0</v>
      </c>
      <c r="F26" s="4"/>
      <c r="J26" s="598" t="s">
        <v>362</v>
      </c>
      <c r="K26" s="598"/>
      <c r="L26" s="598"/>
      <c r="M26" s="598"/>
      <c r="N26" s="598"/>
      <c r="O26" s="598"/>
      <c r="P26" s="598"/>
      <c r="Q26" s="598"/>
      <c r="R26" s="598"/>
    </row>
    <row r="27" spans="1:6" ht="14.25" thickBot="1" thickTop="1">
      <c r="A27" s="615"/>
      <c r="C27" s="312"/>
      <c r="D27" s="584" t="s">
        <v>361</v>
      </c>
      <c r="E27" s="616">
        <f>SUM(E24:E26)</f>
        <v>0</v>
      </c>
      <c r="F27" s="325"/>
    </row>
    <row r="28" spans="1:6" ht="13.5" thickTop="1">
      <c r="A28" s="615"/>
      <c r="C28" s="312"/>
      <c r="D28" s="584"/>
      <c r="E28" s="325"/>
      <c r="F28" s="325"/>
    </row>
    <row r="29" ht="16.5" customHeight="1">
      <c r="A29" t="s">
        <v>232</v>
      </c>
    </row>
    <row r="30" ht="20.25" customHeight="1" thickBot="1">
      <c r="A30" s="63" t="s">
        <v>76</v>
      </c>
    </row>
    <row r="31" spans="1:8" s="795" customFormat="1" ht="29.25" customHeight="1" thickBot="1">
      <c r="A31" s="491" t="s">
        <v>77</v>
      </c>
      <c r="B31" s="951" t="s">
        <v>221</v>
      </c>
      <c r="C31" s="952"/>
      <c r="D31" s="952"/>
      <c r="E31" s="646" t="s">
        <v>78</v>
      </c>
      <c r="F31" s="943" t="s">
        <v>79</v>
      </c>
      <c r="G31" s="943"/>
      <c r="H31" s="944"/>
    </row>
    <row r="32" spans="1:8" ht="12.75" customHeight="1">
      <c r="A32" s="868"/>
      <c r="B32" s="871"/>
      <c r="C32" s="868"/>
      <c r="D32" s="868"/>
      <c r="E32" s="587">
        <f aca="true" t="shared" si="0" ref="E32:E37">IF($D32&gt;0,($B32*$C32*$D32),(3.1415*($B32/2)^2*$C32))</f>
        <v>0</v>
      </c>
      <c r="F32" s="949"/>
      <c r="G32" s="949"/>
      <c r="H32" s="950"/>
    </row>
    <row r="33" spans="1:8" ht="12.75">
      <c r="A33" s="869"/>
      <c r="B33" s="872"/>
      <c r="C33" s="869"/>
      <c r="D33" s="869"/>
      <c r="E33" s="588">
        <f t="shared" si="0"/>
        <v>0</v>
      </c>
      <c r="F33" s="947"/>
      <c r="G33" s="947"/>
      <c r="H33" s="948"/>
    </row>
    <row r="34" spans="1:8" ht="12.75">
      <c r="A34" s="869"/>
      <c r="B34" s="872"/>
      <c r="C34" s="869"/>
      <c r="D34" s="869"/>
      <c r="E34" s="588">
        <f t="shared" si="0"/>
        <v>0</v>
      </c>
      <c r="F34" s="947"/>
      <c r="G34" s="947"/>
      <c r="H34" s="948"/>
    </row>
    <row r="35" spans="1:8" ht="12.75">
      <c r="A35" s="869"/>
      <c r="B35" s="872"/>
      <c r="C35" s="869"/>
      <c r="D35" s="869"/>
      <c r="E35" s="588">
        <f t="shared" si="0"/>
        <v>0</v>
      </c>
      <c r="F35" s="947"/>
      <c r="G35" s="947"/>
      <c r="H35" s="948"/>
    </row>
    <row r="36" spans="1:8" ht="12.75">
      <c r="A36" s="869"/>
      <c r="B36" s="872"/>
      <c r="C36" s="869"/>
      <c r="D36" s="869"/>
      <c r="E36" s="588">
        <f t="shared" si="0"/>
        <v>0</v>
      </c>
      <c r="F36" s="947"/>
      <c r="G36" s="947"/>
      <c r="H36" s="948"/>
    </row>
    <row r="37" spans="1:8" ht="13.5" thickBot="1">
      <c r="A37" s="870"/>
      <c r="B37" s="873"/>
      <c r="C37" s="870"/>
      <c r="D37" s="870"/>
      <c r="E37" s="650">
        <f t="shared" si="0"/>
        <v>0</v>
      </c>
      <c r="F37" s="945"/>
      <c r="G37" s="945"/>
      <c r="H37" s="946"/>
    </row>
    <row r="38" spans="1:8" ht="14.25" thickBot="1" thickTop="1">
      <c r="A38" s="4"/>
      <c r="B38" s="4"/>
      <c r="D38" s="397" t="s">
        <v>162</v>
      </c>
      <c r="E38" s="651">
        <f>SUM($E32:$E37)</f>
        <v>0</v>
      </c>
      <c r="F38" s="381"/>
      <c r="G38" s="381"/>
      <c r="H38" s="381"/>
    </row>
    <row r="39" spans="1:7" ht="13.5" thickTop="1">
      <c r="A39" s="4"/>
      <c r="B39" s="4"/>
      <c r="C39" s="4"/>
      <c r="D39" s="4"/>
      <c r="E39" s="381"/>
      <c r="F39" s="381"/>
      <c r="G39" s="381"/>
    </row>
    <row r="40" ht="13.5" thickBot="1">
      <c r="A40" s="63" t="s">
        <v>176</v>
      </c>
    </row>
    <row r="41" spans="1:8" s="795" customFormat="1" ht="29.25" customHeight="1" thickBot="1">
      <c r="A41" s="491" t="s">
        <v>77</v>
      </c>
      <c r="B41" s="953" t="s">
        <v>234</v>
      </c>
      <c r="C41" s="953"/>
      <c r="D41" s="796" t="s">
        <v>161</v>
      </c>
      <c r="E41" s="491" t="s">
        <v>177</v>
      </c>
      <c r="F41" s="943" t="s">
        <v>233</v>
      </c>
      <c r="G41" s="943"/>
      <c r="H41" s="944"/>
    </row>
    <row r="42" spans="1:8" ht="12.75" customHeight="1">
      <c r="A42" s="874"/>
      <c r="B42" s="868"/>
      <c r="C42" s="875"/>
      <c r="D42" s="633">
        <f>$B42*$C42</f>
        <v>0</v>
      </c>
      <c r="E42" s="880"/>
      <c r="F42" s="949"/>
      <c r="G42" s="949"/>
      <c r="H42" s="950"/>
    </row>
    <row r="43" spans="1:8" ht="12.75">
      <c r="A43" s="876"/>
      <c r="B43" s="869"/>
      <c r="C43" s="877"/>
      <c r="D43" s="633">
        <f>$B43*$C43</f>
        <v>0</v>
      </c>
      <c r="E43" s="881"/>
      <c r="F43" s="947"/>
      <c r="G43" s="947"/>
      <c r="H43" s="948"/>
    </row>
    <row r="44" spans="1:8" ht="13.5" thickBot="1">
      <c r="A44" s="878"/>
      <c r="B44" s="870"/>
      <c r="C44" s="879"/>
      <c r="D44" s="634">
        <f>$B44*$C44</f>
        <v>0</v>
      </c>
      <c r="E44" s="882"/>
      <c r="F44" s="945"/>
      <c r="G44" s="945"/>
      <c r="H44" s="946"/>
    </row>
    <row r="45" spans="3:9" ht="14.25" thickBot="1" thickTop="1">
      <c r="C45" s="397" t="s">
        <v>162</v>
      </c>
      <c r="D45" s="635">
        <f>SUM($D42:$D44)</f>
        <v>0</v>
      </c>
      <c r="F45" s="956" t="s">
        <v>178</v>
      </c>
      <c r="G45" s="956"/>
      <c r="H45" s="956"/>
      <c r="I45" s="813">
        <f>IF((E42+E43+E44)=0,0,AVERAGE(E42:E44))</f>
        <v>0</v>
      </c>
    </row>
    <row r="46" spans="1:8" ht="13.5" customHeight="1" thickTop="1">
      <c r="A46" s="327"/>
      <c r="C46" s="312"/>
      <c r="D46" s="71"/>
      <c r="E46" s="325"/>
      <c r="F46" s="957"/>
      <c r="G46" s="957"/>
      <c r="H46" s="957"/>
    </row>
    <row r="47" spans="1:8" ht="13.5" customHeight="1">
      <c r="A47" t="s">
        <v>72</v>
      </c>
      <c r="B47" s="4"/>
      <c r="C47" s="954"/>
      <c r="D47" s="954"/>
      <c r="E47" s="954"/>
      <c r="F47" s="954"/>
      <c r="G47" s="954"/>
      <c r="H47" s="954"/>
    </row>
    <row r="48" spans="1:9" ht="17.25" customHeight="1">
      <c r="A48" t="s">
        <v>73</v>
      </c>
      <c r="C48" s="955"/>
      <c r="D48" s="955"/>
      <c r="E48" s="955"/>
      <c r="F48" s="955"/>
      <c r="G48" s="955"/>
      <c r="H48" s="955"/>
      <c r="I48" s="4"/>
    </row>
    <row r="49" spans="1:9" ht="12.75">
      <c r="A49" s="4"/>
      <c r="B49" s="4"/>
      <c r="C49" s="955"/>
      <c r="D49" s="955"/>
      <c r="E49" s="955"/>
      <c r="F49" s="955"/>
      <c r="G49" s="955"/>
      <c r="H49" s="955"/>
      <c r="I49" s="4"/>
    </row>
    <row r="50" spans="1:9" ht="12.75">
      <c r="A50" s="4"/>
      <c r="B50" s="4"/>
      <c r="C50" s="955"/>
      <c r="D50" s="955"/>
      <c r="E50" s="955"/>
      <c r="F50" s="955"/>
      <c r="G50" s="955"/>
      <c r="H50" s="955"/>
      <c r="I50" s="4"/>
    </row>
    <row r="51" spans="1:9" ht="12.75">
      <c r="A51" t="s">
        <v>74</v>
      </c>
      <c r="C51" s="955"/>
      <c r="D51" s="955"/>
      <c r="E51" s="955"/>
      <c r="F51" s="955"/>
      <c r="G51" s="955"/>
      <c r="H51" s="955"/>
      <c r="I51" s="4"/>
    </row>
    <row r="52" spans="1:9" ht="12.75">
      <c r="A52" s="4"/>
      <c r="B52" s="4"/>
      <c r="C52" s="955"/>
      <c r="D52" s="955"/>
      <c r="E52" s="955"/>
      <c r="F52" s="955"/>
      <c r="G52" s="955"/>
      <c r="H52" s="955"/>
      <c r="I52" s="4"/>
    </row>
    <row r="53" spans="1:9" ht="12.75">
      <c r="A53" s="4"/>
      <c r="B53" s="4"/>
      <c r="C53" s="955"/>
      <c r="D53" s="955"/>
      <c r="E53" s="955"/>
      <c r="F53" s="955"/>
      <c r="G53" s="955"/>
      <c r="H53" s="955"/>
      <c r="I53" s="4"/>
    </row>
    <row r="54" spans="1:9" ht="12.75">
      <c r="A54" t="s">
        <v>75</v>
      </c>
      <c r="C54" s="955"/>
      <c r="D54" s="955"/>
      <c r="E54" s="955"/>
      <c r="F54" s="955"/>
      <c r="G54" s="955"/>
      <c r="H54" s="955"/>
      <c r="I54" s="4"/>
    </row>
    <row r="55" ht="19.5" customHeight="1">
      <c r="I55" s="4"/>
    </row>
    <row r="59" spans="5:7" ht="12.75">
      <c r="E59" s="383"/>
      <c r="F59" s="383"/>
      <c r="G59" s="381"/>
    </row>
    <row r="60" ht="41.25" customHeight="1"/>
  </sheetData>
  <sheetProtection sheet="1" objects="1" scenarios="1" formatCells="0" formatColumns="0" formatRows="0"/>
  <protectedRanges>
    <protectedRange sqref="D42:D44" name="Plage6"/>
    <protectedRange sqref="E3:H3 G7:H7 A8:H10 A4:H6" name="Plage1"/>
    <protectedRange sqref="B15:E19 C24:C26 G15:H19" name="Plage2"/>
    <protectedRange sqref="C47:H54" name="Plage3"/>
    <protectedRange sqref="F32:H37 A32:D37" name="Plage4"/>
    <protectedRange sqref="A42:C44 E42:H44" name="Plage5"/>
  </protectedRanges>
  <mergeCells count="33">
    <mergeCell ref="C54:H54"/>
    <mergeCell ref="C47:H47"/>
    <mergeCell ref="C48:H48"/>
    <mergeCell ref="C49:H49"/>
    <mergeCell ref="C50:H50"/>
    <mergeCell ref="F45:H46"/>
    <mergeCell ref="C51:H51"/>
    <mergeCell ref="C52:H52"/>
    <mergeCell ref="C53:H53"/>
    <mergeCell ref="B41:C41"/>
    <mergeCell ref="F41:H41"/>
    <mergeCell ref="E3:H3"/>
    <mergeCell ref="A4:H4"/>
    <mergeCell ref="A5:H5"/>
    <mergeCell ref="A6:H6"/>
    <mergeCell ref="G7:H7"/>
    <mergeCell ref="A8:H8"/>
    <mergeCell ref="A9:H9"/>
    <mergeCell ref="A10:H10"/>
    <mergeCell ref="B31:D31"/>
    <mergeCell ref="F35:H35"/>
    <mergeCell ref="F34:H34"/>
    <mergeCell ref="F33:H33"/>
    <mergeCell ref="F32:H32"/>
    <mergeCell ref="F37:H37"/>
    <mergeCell ref="F36:H36"/>
    <mergeCell ref="M14:N14"/>
    <mergeCell ref="Q14:R14"/>
    <mergeCell ref="O14:P14"/>
    <mergeCell ref="F31:H31"/>
    <mergeCell ref="F44:H44"/>
    <mergeCell ref="F43:H43"/>
    <mergeCell ref="F42:H42"/>
  </mergeCells>
  <dataValidations count="2">
    <dataValidation type="list" allowBlank="1" showInputMessage="1" showErrorMessage="1" sqref="H15:H19">
      <formula1>$J$24:$J$26</formula1>
    </dataValidation>
    <dataValidation type="list" allowBlank="1" showInputMessage="1" showErrorMessage="1" sqref="G15:G19">
      <formula1>$J$15:$J$20</formula1>
    </dataValidation>
  </dataValidations>
  <printOptions/>
  <pageMargins left="0.54" right="0.32" top="0.3" bottom="0.4" header="0.25" footer="0.35"/>
  <pageSetup horizontalDpi="600" verticalDpi="600" orientation="portrait" paperSize="9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K78"/>
  <sheetViews>
    <sheetView showGridLines="0" showZeros="0" zoomScalePageLayoutView="0" workbookViewId="0" topLeftCell="A1">
      <pane xSplit="2" topLeftCell="C1" activePane="topRight" state="frozen"/>
      <selection pane="topLeft" activeCell="Q6" sqref="Q6"/>
      <selection pane="topRight" activeCell="E50" sqref="E50"/>
    </sheetView>
  </sheetViews>
  <sheetFormatPr defaultColWidth="11.421875" defaultRowHeight="12.75"/>
  <cols>
    <col min="1" max="1" width="29.00390625" style="0" bestFit="1" customWidth="1"/>
    <col min="2" max="2" width="7.00390625" style="0" customWidth="1"/>
    <col min="3" max="3" width="15.140625" style="0" customWidth="1"/>
    <col min="4" max="4" width="13.7109375" style="0" customWidth="1"/>
    <col min="5" max="5" width="14.57421875" style="0" customWidth="1"/>
    <col min="6" max="6" width="13.00390625" style="0" customWidth="1"/>
    <col min="10" max="10" width="12.140625" style="0" customWidth="1"/>
  </cols>
  <sheetData>
    <row r="1" spans="1:6" ht="13.5">
      <c r="A1" s="341" t="s">
        <v>182</v>
      </c>
      <c r="B1" s="1"/>
      <c r="C1" s="1"/>
      <c r="D1" s="1"/>
      <c r="E1" s="1"/>
      <c r="F1" s="1"/>
    </row>
    <row r="2" spans="1:10" ht="13.5">
      <c r="A2" s="517"/>
      <c r="B2" s="1"/>
      <c r="C2" s="1"/>
      <c r="D2" s="1"/>
      <c r="E2" s="1"/>
      <c r="F2" s="1"/>
      <c r="G2" s="322"/>
      <c r="H2" s="322"/>
      <c r="I2" s="322"/>
      <c r="J2" s="322"/>
    </row>
    <row r="3" spans="1:10" ht="12.75">
      <c r="A3" s="521" t="s">
        <v>248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2.75">
      <c r="A4" s="520" t="s">
        <v>249</v>
      </c>
      <c r="B4" s="883" t="s">
        <v>10</v>
      </c>
      <c r="C4" s="322" t="s">
        <v>250</v>
      </c>
      <c r="D4" s="322"/>
      <c r="E4" s="322"/>
      <c r="F4" s="322"/>
      <c r="G4" s="322"/>
      <c r="H4" s="322"/>
      <c r="I4" s="322"/>
      <c r="J4" s="322"/>
    </row>
    <row r="5" spans="1:10" ht="12.75">
      <c r="A5" s="520" t="s">
        <v>251</v>
      </c>
      <c r="B5" s="322"/>
      <c r="C5" s="322"/>
      <c r="D5" s="463" t="s">
        <v>252</v>
      </c>
      <c r="E5" s="969"/>
      <c r="F5" s="969"/>
      <c r="G5" s="969"/>
      <c r="H5" s="969"/>
      <c r="I5" s="969"/>
      <c r="J5" s="969"/>
    </row>
    <row r="6" spans="1:10" ht="12.75">
      <c r="A6" s="518"/>
      <c r="B6" s="322"/>
      <c r="C6" s="322"/>
      <c r="E6" s="968"/>
      <c r="F6" s="968"/>
      <c r="G6" s="968"/>
      <c r="H6" s="968"/>
      <c r="I6" s="968"/>
      <c r="J6" s="968"/>
    </row>
    <row r="7" spans="1:10" ht="12.75">
      <c r="A7" s="518"/>
      <c r="B7" s="322"/>
      <c r="C7" s="322"/>
      <c r="D7" s="322"/>
      <c r="E7" s="968"/>
      <c r="F7" s="968"/>
      <c r="G7" s="968"/>
      <c r="H7" s="968"/>
      <c r="I7" s="968"/>
      <c r="J7" s="968"/>
    </row>
    <row r="8" spans="1:10" ht="12.75">
      <c r="A8" s="518"/>
      <c r="B8" s="322"/>
      <c r="C8" s="322"/>
      <c r="D8" s="463" t="s">
        <v>253</v>
      </c>
      <c r="E8" s="968"/>
      <c r="F8" s="968"/>
      <c r="G8" s="968"/>
      <c r="H8" s="968"/>
      <c r="I8" s="968"/>
      <c r="J8" s="968"/>
    </row>
    <row r="9" spans="1:10" ht="12.75">
      <c r="A9" s="518"/>
      <c r="B9" s="322"/>
      <c r="C9" s="322"/>
      <c r="E9" s="968"/>
      <c r="F9" s="968"/>
      <c r="G9" s="968"/>
      <c r="H9" s="968"/>
      <c r="I9" s="968"/>
      <c r="J9" s="968"/>
    </row>
    <row r="10" spans="1:10" ht="12.75">
      <c r="A10" s="518"/>
      <c r="B10" s="322"/>
      <c r="C10" s="322"/>
      <c r="D10" s="322"/>
      <c r="E10" s="968"/>
      <c r="F10" s="968"/>
      <c r="G10" s="968"/>
      <c r="H10" s="968"/>
      <c r="I10" s="968"/>
      <c r="J10" s="968"/>
    </row>
    <row r="11" spans="1:10" ht="12.75">
      <c r="A11" s="519"/>
      <c r="B11" s="322"/>
      <c r="C11" s="322"/>
      <c r="D11" s="322"/>
      <c r="E11" s="322"/>
      <c r="F11" s="322"/>
      <c r="G11" s="322"/>
      <c r="H11" s="322"/>
      <c r="I11" s="322"/>
      <c r="J11" s="322"/>
    </row>
    <row r="12" ht="8.25" customHeight="1"/>
    <row r="13" spans="3:10" ht="12.75">
      <c r="C13" s="973" t="s">
        <v>370</v>
      </c>
      <c r="D13" s="974"/>
      <c r="E13" s="975"/>
      <c r="F13" s="970" t="s">
        <v>277</v>
      </c>
      <c r="G13" s="971"/>
      <c r="H13" s="971"/>
      <c r="I13" s="971"/>
      <c r="J13" s="972"/>
    </row>
    <row r="14" spans="2:11" ht="12.75">
      <c r="B14" s="24"/>
      <c r="C14" s="44" t="s">
        <v>506</v>
      </c>
      <c r="D14" s="958" t="s">
        <v>507</v>
      </c>
      <c r="E14" s="961" t="s">
        <v>508</v>
      </c>
      <c r="F14" s="958" t="s">
        <v>509</v>
      </c>
      <c r="G14" s="958" t="s">
        <v>510</v>
      </c>
      <c r="H14" s="961" t="s">
        <v>511</v>
      </c>
      <c r="I14" s="961" t="s">
        <v>508</v>
      </c>
      <c r="J14" s="958" t="s">
        <v>512</v>
      </c>
      <c r="K14" s="1"/>
    </row>
    <row r="15" spans="1:11" ht="12.75">
      <c r="A15" s="50" t="s">
        <v>139</v>
      </c>
      <c r="B15" s="25"/>
      <c r="C15" s="37"/>
      <c r="D15" s="959"/>
      <c r="E15" s="962"/>
      <c r="F15" s="964"/>
      <c r="G15" s="964"/>
      <c r="H15" s="962"/>
      <c r="I15" s="962"/>
      <c r="J15" s="964"/>
      <c r="K15" s="1"/>
    </row>
    <row r="16" spans="1:11" ht="21" customHeight="1">
      <c r="A16" s="50" t="s">
        <v>80</v>
      </c>
      <c r="B16" s="413" t="s">
        <v>171</v>
      </c>
      <c r="C16" s="45"/>
      <c r="D16" s="960"/>
      <c r="E16" s="963"/>
      <c r="F16" s="965"/>
      <c r="G16" s="965"/>
      <c r="H16" s="963"/>
      <c r="I16" s="963"/>
      <c r="J16" s="965"/>
      <c r="K16" s="1"/>
    </row>
    <row r="17" spans="1:11" ht="12.75">
      <c r="A17" s="39" t="s">
        <v>258</v>
      </c>
      <c r="B17" s="40">
        <v>1</v>
      </c>
      <c r="C17" s="884"/>
      <c r="D17" s="884"/>
      <c r="E17" s="884"/>
      <c r="F17" s="884"/>
      <c r="G17" s="884"/>
      <c r="H17" s="884"/>
      <c r="I17" s="884"/>
      <c r="J17" s="884"/>
      <c r="K17" s="439">
        <f>SUM($C17:$J17)</f>
        <v>0</v>
      </c>
    </row>
    <row r="18" spans="1:11" ht="12.75">
      <c r="A18" s="39" t="s">
        <v>259</v>
      </c>
      <c r="B18" s="41">
        <v>0.25</v>
      </c>
      <c r="C18" s="884"/>
      <c r="D18" s="884"/>
      <c r="E18" s="884"/>
      <c r="F18" s="884"/>
      <c r="G18" s="884"/>
      <c r="H18" s="884"/>
      <c r="I18" s="884"/>
      <c r="J18" s="884"/>
      <c r="K18" s="439">
        <f aca="true" t="shared" si="0" ref="K18:K25">SUM($C18:$J18)</f>
        <v>0</v>
      </c>
    </row>
    <row r="19" spans="1:11" ht="12.75">
      <c r="A19" s="39" t="s">
        <v>268</v>
      </c>
      <c r="B19" s="40">
        <v>0.4</v>
      </c>
      <c r="C19" s="884"/>
      <c r="D19" s="884"/>
      <c r="E19" s="884"/>
      <c r="F19" s="884"/>
      <c r="G19" s="884"/>
      <c r="H19" s="884"/>
      <c r="I19" s="884"/>
      <c r="J19" s="884"/>
      <c r="K19" s="439">
        <f t="shared" si="0"/>
        <v>0</v>
      </c>
    </row>
    <row r="20" spans="1:11" ht="12.75">
      <c r="A20" s="39" t="s">
        <v>267</v>
      </c>
      <c r="B20" s="40">
        <v>0.6</v>
      </c>
      <c r="C20" s="884"/>
      <c r="D20" s="884"/>
      <c r="E20" s="884"/>
      <c r="F20" s="884"/>
      <c r="G20" s="884"/>
      <c r="H20" s="884"/>
      <c r="I20" s="884"/>
      <c r="J20" s="884"/>
      <c r="K20" s="439">
        <f t="shared" si="0"/>
        <v>0</v>
      </c>
    </row>
    <row r="21" spans="1:11" ht="12.75">
      <c r="A21" s="39" t="s">
        <v>456</v>
      </c>
      <c r="B21" s="40">
        <v>0.8</v>
      </c>
      <c r="C21" s="884"/>
      <c r="D21" s="884"/>
      <c r="E21" s="884"/>
      <c r="F21" s="884"/>
      <c r="G21" s="884"/>
      <c r="H21" s="884"/>
      <c r="I21" s="884"/>
      <c r="J21" s="884"/>
      <c r="K21" s="439">
        <f t="shared" si="0"/>
        <v>0</v>
      </c>
    </row>
    <row r="22" spans="1:11" ht="12.75">
      <c r="A22" s="43" t="s">
        <v>260</v>
      </c>
      <c r="B22" s="40">
        <v>0.17</v>
      </c>
      <c r="C22" s="884"/>
      <c r="D22" s="884"/>
      <c r="E22" s="884"/>
      <c r="F22" s="884"/>
      <c r="G22" s="884"/>
      <c r="H22" s="884"/>
      <c r="I22" s="884"/>
      <c r="J22" s="884"/>
      <c r="K22" s="439">
        <f t="shared" si="0"/>
        <v>0</v>
      </c>
    </row>
    <row r="23" spans="1:11" ht="12.75">
      <c r="A23" s="39" t="s">
        <v>261</v>
      </c>
      <c r="B23" s="40">
        <v>0.1</v>
      </c>
      <c r="C23" s="884"/>
      <c r="D23" s="884"/>
      <c r="E23" s="884"/>
      <c r="F23" s="884"/>
      <c r="G23" s="884"/>
      <c r="H23" s="884"/>
      <c r="I23" s="884"/>
      <c r="J23" s="884"/>
      <c r="K23" s="439">
        <f t="shared" si="0"/>
        <v>0</v>
      </c>
    </row>
    <row r="24" spans="1:11" ht="12.75">
      <c r="A24" s="39" t="s">
        <v>455</v>
      </c>
      <c r="B24" s="41">
        <v>0.08</v>
      </c>
      <c r="C24" s="884"/>
      <c r="D24" s="884"/>
      <c r="E24" s="884"/>
      <c r="F24" s="884"/>
      <c r="G24" s="884"/>
      <c r="H24" s="884"/>
      <c r="I24" s="884"/>
      <c r="J24" s="884"/>
      <c r="K24" s="439">
        <f t="shared" si="0"/>
        <v>0</v>
      </c>
    </row>
    <row r="25" spans="1:11" ht="13.5" thickBot="1">
      <c r="A25" s="39" t="s">
        <v>263</v>
      </c>
      <c r="B25" s="40">
        <v>0.4</v>
      </c>
      <c r="C25" s="884"/>
      <c r="D25" s="884"/>
      <c r="E25" s="884"/>
      <c r="F25" s="884"/>
      <c r="G25" s="884"/>
      <c r="H25" s="884"/>
      <c r="I25" s="884"/>
      <c r="J25" s="884"/>
      <c r="K25" s="439">
        <f t="shared" si="0"/>
        <v>0</v>
      </c>
    </row>
    <row r="26" spans="1:11" ht="13.5" thickBot="1">
      <c r="A26" s="52" t="s">
        <v>99</v>
      </c>
      <c r="B26" s="416"/>
      <c r="C26" s="433">
        <f aca="true" t="shared" si="1" ref="C26:I26">($B$17*C17)+($B$18*C18)+($B$19*C19)+($B$20*C20)+($B$21*C21)+($B$22*C22)+($B$23*C23)+($B$24*C24)+($B$25*C25)</f>
        <v>0</v>
      </c>
      <c r="D26" s="433">
        <f t="shared" si="1"/>
        <v>0</v>
      </c>
      <c r="E26" s="433">
        <f t="shared" si="1"/>
        <v>0</v>
      </c>
      <c r="F26" s="433">
        <f t="shared" si="1"/>
        <v>0</v>
      </c>
      <c r="G26" s="433">
        <f t="shared" si="1"/>
        <v>0</v>
      </c>
      <c r="H26" s="433">
        <f t="shared" si="1"/>
        <v>0</v>
      </c>
      <c r="I26" s="433">
        <f t="shared" si="1"/>
        <v>0</v>
      </c>
      <c r="J26" s="433">
        <f>($B$17*J17)+($B$18*J18)+($B$19*J19)+($B$20*J20)+($B$21*J21)+($B$22*J22)+($B$23*J23)+($B$24*J24)+($B$25*J25)</f>
        <v>0</v>
      </c>
      <c r="K26" s="1"/>
    </row>
    <row r="27" spans="1:11" ht="12.75" customHeight="1">
      <c r="A27" s="322"/>
      <c r="B27" s="322"/>
      <c r="C27" s="322"/>
      <c r="D27" s="322"/>
      <c r="F27" s="322"/>
      <c r="G27" s="322"/>
      <c r="H27" s="322"/>
      <c r="I27" s="322"/>
      <c r="J27" s="322"/>
      <c r="K27" s="1"/>
    </row>
    <row r="28" spans="1:11" ht="12.75" customHeight="1">
      <c r="A28" s="322"/>
      <c r="B28" s="322"/>
      <c r="C28" s="322"/>
      <c r="D28" s="322"/>
      <c r="F28" s="322"/>
      <c r="G28" s="322"/>
      <c r="H28" s="322"/>
      <c r="I28" s="322"/>
      <c r="J28" s="322"/>
      <c r="K28" s="1"/>
    </row>
    <row r="29" spans="1:11" ht="12.75">
      <c r="A29" s="1"/>
      <c r="B29" s="27"/>
      <c r="C29" s="47" t="s">
        <v>140</v>
      </c>
      <c r="D29" s="46"/>
      <c r="E29" s="47" t="s">
        <v>141</v>
      </c>
      <c r="F29" s="46" t="s">
        <v>142</v>
      </c>
      <c r="G29" s="409" t="s">
        <v>143</v>
      </c>
      <c r="H29" s="322"/>
      <c r="I29" s="322"/>
      <c r="J29" s="322"/>
      <c r="K29" s="1"/>
    </row>
    <row r="30" spans="1:11" ht="12.75">
      <c r="A30" s="1"/>
      <c r="B30" s="34"/>
      <c r="C30" s="47" t="s">
        <v>144</v>
      </c>
      <c r="D30" s="47" t="s">
        <v>247</v>
      </c>
      <c r="E30" s="47" t="s">
        <v>179</v>
      </c>
      <c r="F30" s="47" t="s">
        <v>181</v>
      </c>
      <c r="G30" s="409" t="s">
        <v>145</v>
      </c>
      <c r="H30" s="322"/>
      <c r="I30" s="322"/>
      <c r="J30" s="322"/>
      <c r="K30" s="1"/>
    </row>
    <row r="31" spans="1:11" ht="12.75">
      <c r="A31" s="1"/>
      <c r="B31" s="34"/>
      <c r="C31" s="47" t="s">
        <v>146</v>
      </c>
      <c r="D31" s="47" t="s">
        <v>213</v>
      </c>
      <c r="E31" s="47" t="s">
        <v>147</v>
      </c>
      <c r="F31" s="46"/>
      <c r="G31" s="409" t="s">
        <v>148</v>
      </c>
      <c r="H31" s="322"/>
      <c r="I31" s="322"/>
      <c r="J31" s="322"/>
      <c r="K31" s="1"/>
    </row>
    <row r="32" spans="2:11" ht="12.75">
      <c r="B32" s="966" t="s">
        <v>498</v>
      </c>
      <c r="C32" s="47" t="s">
        <v>149</v>
      </c>
      <c r="D32" s="47"/>
      <c r="E32" s="47" t="s">
        <v>180</v>
      </c>
      <c r="F32" s="47" t="s">
        <v>150</v>
      </c>
      <c r="G32" s="409"/>
      <c r="H32" s="322"/>
      <c r="I32" s="322"/>
      <c r="J32" s="322"/>
      <c r="K32" s="1"/>
    </row>
    <row r="33" spans="1:11" ht="12.75">
      <c r="A33" s="50" t="s">
        <v>85</v>
      </c>
      <c r="B33" s="967"/>
      <c r="C33" s="46" t="s">
        <v>151</v>
      </c>
      <c r="D33" s="47" t="s">
        <v>214</v>
      </c>
      <c r="E33" s="47"/>
      <c r="F33" s="46" t="s">
        <v>152</v>
      </c>
      <c r="G33" s="410"/>
      <c r="H33" s="322"/>
      <c r="I33" s="440"/>
      <c r="J33" s="322"/>
      <c r="K33" s="1"/>
    </row>
    <row r="34" spans="1:11" ht="12.75">
      <c r="A34" s="39" t="s">
        <v>495</v>
      </c>
      <c r="B34" s="411">
        <v>1</v>
      </c>
      <c r="C34" s="884"/>
      <c r="D34" s="884"/>
      <c r="E34" s="884"/>
      <c r="F34" s="884"/>
      <c r="G34" s="884"/>
      <c r="H34" s="440">
        <f aca="true" t="shared" si="2" ref="H34:H39">(SUM($C34:$G34))*$B34</f>
        <v>0</v>
      </c>
      <c r="I34" s="440">
        <f aca="true" t="shared" si="3" ref="I34:I39">SUM(C34:F34)</f>
        <v>0</v>
      </c>
      <c r="J34" s="322"/>
      <c r="K34" s="1"/>
    </row>
    <row r="35" spans="1:11" ht="12.75">
      <c r="A35" s="39" t="s">
        <v>496</v>
      </c>
      <c r="B35" s="411">
        <f>6/1.6</f>
        <v>3.75</v>
      </c>
      <c r="C35" s="884"/>
      <c r="D35" s="884"/>
      <c r="E35" s="884"/>
      <c r="F35" s="884"/>
      <c r="G35" s="884"/>
      <c r="H35" s="440">
        <f t="shared" si="2"/>
        <v>0</v>
      </c>
      <c r="I35" s="440">
        <f t="shared" si="3"/>
        <v>0</v>
      </c>
      <c r="J35" s="322"/>
      <c r="K35" s="1"/>
    </row>
    <row r="36" spans="1:11" ht="13.5" thickBot="1">
      <c r="A36" s="48" t="s">
        <v>246</v>
      </c>
      <c r="B36" s="446">
        <f>B38</f>
        <v>2.25</v>
      </c>
      <c r="C36" s="885"/>
      <c r="D36" s="885"/>
      <c r="E36" s="885"/>
      <c r="F36" s="885"/>
      <c r="G36" s="885"/>
      <c r="H36" s="440">
        <f>(SUM($C36:$G36))*$B36</f>
        <v>0</v>
      </c>
      <c r="I36" s="440">
        <f>SUM(C36:F36)</f>
        <v>0</v>
      </c>
      <c r="J36" s="322"/>
      <c r="K36" s="1"/>
    </row>
    <row r="37" spans="1:11" ht="13.5" thickTop="1">
      <c r="A37" s="844" t="s">
        <v>494</v>
      </c>
      <c r="B37" s="845">
        <f>7.2/1.6</f>
        <v>4.5</v>
      </c>
      <c r="C37" s="886"/>
      <c r="D37" s="886"/>
      <c r="E37" s="886"/>
      <c r="F37" s="886"/>
      <c r="G37" s="886"/>
      <c r="H37" s="440">
        <f t="shared" si="2"/>
        <v>0</v>
      </c>
      <c r="I37" s="440">
        <f t="shared" si="3"/>
        <v>0</v>
      </c>
      <c r="J37" s="322"/>
      <c r="K37" s="1"/>
    </row>
    <row r="38" spans="1:11" ht="12.75">
      <c r="A38" s="852" t="s">
        <v>500</v>
      </c>
      <c r="B38" s="412">
        <f>3.6/1.6</f>
        <v>2.25</v>
      </c>
      <c r="C38" s="884"/>
      <c r="D38" s="884"/>
      <c r="E38" s="884"/>
      <c r="F38" s="884"/>
      <c r="G38" s="884"/>
      <c r="H38" s="440">
        <f t="shared" si="2"/>
        <v>0</v>
      </c>
      <c r="I38" s="440">
        <f t="shared" si="3"/>
        <v>0</v>
      </c>
      <c r="J38" s="322" t="s">
        <v>186</v>
      </c>
      <c r="K38" s="1"/>
    </row>
    <row r="39" spans="1:11" ht="13.5" thickBot="1">
      <c r="A39" s="853" t="s">
        <v>501</v>
      </c>
      <c r="B39" s="411">
        <f>0.8/1.6</f>
        <v>0.5</v>
      </c>
      <c r="C39" s="884"/>
      <c r="D39" s="884"/>
      <c r="E39" s="884"/>
      <c r="F39" s="884"/>
      <c r="G39" s="884"/>
      <c r="H39" s="440">
        <f t="shared" si="2"/>
        <v>0</v>
      </c>
      <c r="I39" s="440">
        <f t="shared" si="3"/>
        <v>0</v>
      </c>
      <c r="J39" s="322"/>
      <c r="K39" s="1"/>
    </row>
    <row r="40" spans="1:11" ht="13.5" thickBot="1">
      <c r="A40" s="52" t="s">
        <v>499</v>
      </c>
      <c r="B40" s="415"/>
      <c r="C40" s="433">
        <f>(C$34*$B$34)+(C$37*$B$37)+(C$38*$B$38)+(C$39*$B$39)+(C$36*$B$36)+($B$35*C35)</f>
        <v>0</v>
      </c>
      <c r="D40" s="433">
        <f>(D$34*$B$34)+(D$37*$B$37)+(D$38*$B$38)+(D$39*$B$39)+(D$36*$B$36)+($B$35*D35)</f>
        <v>0</v>
      </c>
      <c r="E40" s="433">
        <f>(E$34*$B$34)+(E$37*$B$37)+(E$38*$B$38)+(E$39*$B$39)+(E$36*$B$36)+($B$35*E35)</f>
        <v>0</v>
      </c>
      <c r="F40" s="433">
        <f>(F$34*$B$34)+(F$37*$B$37)+(F$38*$B$38)+(F$39*$B$39)+(F$36*$B$36)+($B$35*F35)</f>
        <v>0</v>
      </c>
      <c r="G40" s="433">
        <f>(G$34*$B$34)+(G$37*$B$37)+(G$38*$B$38)+(G$39*$B$39)+(G$36*$B$36)+($B$35*G35)</f>
        <v>0</v>
      </c>
      <c r="H40" s="322"/>
      <c r="I40" s="322"/>
      <c r="J40" s="322"/>
      <c r="K40" s="1"/>
    </row>
    <row r="41" spans="1:11" ht="12.75">
      <c r="A41" s="1"/>
      <c r="B41" s="1"/>
      <c r="C41" s="1"/>
      <c r="D41" s="1"/>
      <c r="E41" s="1"/>
      <c r="F41" s="1"/>
      <c r="G41" s="311"/>
      <c r="H41" s="322"/>
      <c r="I41" s="322"/>
      <c r="J41" s="322"/>
      <c r="K41" s="1"/>
    </row>
    <row r="42" spans="1:11" ht="12.75">
      <c r="A42" s="1"/>
      <c r="B42" s="1"/>
      <c r="C42" s="1"/>
      <c r="D42" s="1"/>
      <c r="E42" s="1"/>
      <c r="F42" s="1"/>
      <c r="G42" s="311"/>
      <c r="H42" s="322"/>
      <c r="I42" s="322"/>
      <c r="J42" s="322"/>
      <c r="K42" s="1"/>
    </row>
    <row r="43" spans="1:11" ht="12.75">
      <c r="A43" s="1"/>
      <c r="B43" s="1"/>
      <c r="C43" s="1"/>
      <c r="D43" s="1"/>
      <c r="E43" s="1"/>
      <c r="F43" s="1"/>
      <c r="G43" s="311"/>
      <c r="H43" s="322"/>
      <c r="I43" s="322"/>
      <c r="J43" s="322"/>
      <c r="K43" s="1"/>
    </row>
    <row r="44" spans="1:11" ht="12.75">
      <c r="A44" s="1"/>
      <c r="B44" s="1"/>
      <c r="C44" s="1"/>
      <c r="D44" s="1"/>
      <c r="E44" s="1"/>
      <c r="F44" s="1"/>
      <c r="G44" s="311"/>
      <c r="H44" s="322"/>
      <c r="I44" s="322"/>
      <c r="J44" s="322"/>
      <c r="K44" s="1"/>
    </row>
    <row r="45" spans="1:11" ht="12.75">
      <c r="A45" s="1"/>
      <c r="B45" s="1"/>
      <c r="D45" s="47" t="s">
        <v>154</v>
      </c>
      <c r="F45" s="409" t="s">
        <v>156</v>
      </c>
      <c r="G45" s="322"/>
      <c r="H45" s="322"/>
      <c r="I45" s="322"/>
      <c r="J45" s="322"/>
      <c r="K45" s="1"/>
    </row>
    <row r="46" spans="1:11" ht="12.75">
      <c r="A46" s="49"/>
      <c r="B46" s="1"/>
      <c r="C46" s="47" t="s">
        <v>153</v>
      </c>
      <c r="D46" s="47" t="s">
        <v>157</v>
      </c>
      <c r="E46" s="47" t="s">
        <v>155</v>
      </c>
      <c r="F46" s="409" t="s">
        <v>145</v>
      </c>
      <c r="G46" s="322"/>
      <c r="H46" s="322"/>
      <c r="I46" s="322"/>
      <c r="J46" s="322"/>
      <c r="K46" s="1"/>
    </row>
    <row r="47" spans="1:11" ht="19.5" customHeight="1">
      <c r="A47" s="49" t="s">
        <v>88</v>
      </c>
      <c r="B47" s="31"/>
      <c r="C47" s="47" t="s">
        <v>149</v>
      </c>
      <c r="D47" s="417" t="s">
        <v>173</v>
      </c>
      <c r="E47" s="47" t="s">
        <v>138</v>
      </c>
      <c r="F47" s="409" t="s">
        <v>148</v>
      </c>
      <c r="G47" s="322"/>
      <c r="H47" s="322"/>
      <c r="I47" s="322"/>
      <c r="J47" s="322"/>
      <c r="K47" s="1"/>
    </row>
    <row r="48" spans="1:11" ht="12.75">
      <c r="A48" s="39" t="s">
        <v>243</v>
      </c>
      <c r="B48" s="41">
        <v>1</v>
      </c>
      <c r="C48" s="884"/>
      <c r="D48" s="884"/>
      <c r="E48" s="884"/>
      <c r="F48" s="884"/>
      <c r="G48" s="440">
        <f>SUM($C48:$E48)</f>
        <v>0</v>
      </c>
      <c r="H48" s="322"/>
      <c r="I48" s="322"/>
      <c r="J48" s="322"/>
      <c r="K48" s="1"/>
    </row>
    <row r="49" spans="1:11" ht="12.75">
      <c r="A49" s="39" t="s">
        <v>244</v>
      </c>
      <c r="B49" s="41">
        <v>0.4</v>
      </c>
      <c r="C49" s="884"/>
      <c r="D49" s="884"/>
      <c r="E49" s="884"/>
      <c r="F49" s="884"/>
      <c r="G49" s="440">
        <f>SUM($C49:$E49)</f>
        <v>0</v>
      </c>
      <c r="H49" s="322"/>
      <c r="I49" s="322"/>
      <c r="J49" s="322"/>
      <c r="K49" s="1"/>
    </row>
    <row r="50" spans="1:11" ht="12.75">
      <c r="A50" s="39" t="s">
        <v>245</v>
      </c>
      <c r="B50" s="41">
        <v>0.4</v>
      </c>
      <c r="C50" s="884"/>
      <c r="D50" s="884"/>
      <c r="E50" s="884"/>
      <c r="F50" s="884"/>
      <c r="G50" s="440">
        <f>SUM($C50:$E50)</f>
        <v>0</v>
      </c>
      <c r="H50" s="322"/>
      <c r="I50" s="322"/>
      <c r="J50" s="322"/>
      <c r="K50" s="1"/>
    </row>
    <row r="51" spans="1:11" ht="12.75">
      <c r="A51" s="43" t="s">
        <v>90</v>
      </c>
      <c r="B51" s="41">
        <v>1.5</v>
      </c>
      <c r="C51" s="884"/>
      <c r="D51" s="884"/>
      <c r="E51" s="884"/>
      <c r="F51" s="884"/>
      <c r="G51" s="440">
        <f>SUM($C51:$E51)</f>
        <v>0</v>
      </c>
      <c r="H51" s="322"/>
      <c r="I51" s="322"/>
      <c r="J51" s="322"/>
      <c r="K51" s="1"/>
    </row>
    <row r="52" spans="1:11" ht="13.5" thickBot="1">
      <c r="A52" s="48" t="s">
        <v>91</v>
      </c>
      <c r="B52" s="51">
        <v>0.25</v>
      </c>
      <c r="C52" s="884"/>
      <c r="D52" s="884"/>
      <c r="E52" s="884"/>
      <c r="F52" s="884"/>
      <c r="G52" s="440">
        <f>SUM($C52:$E52)</f>
        <v>0</v>
      </c>
      <c r="H52" s="322"/>
      <c r="I52" s="322"/>
      <c r="J52" s="322"/>
      <c r="K52" s="1"/>
    </row>
    <row r="53" spans="1:11" ht="13.5" thickBot="1">
      <c r="A53" s="52" t="s">
        <v>172</v>
      </c>
      <c r="B53" s="414"/>
      <c r="C53" s="530">
        <f>(C$48*$B$48)+(C$49*$B$49)+(C$50*$B$50)+(C$51*$B$51)+(C$52*$B$52)</f>
        <v>0</v>
      </c>
      <c r="D53" s="530">
        <f>(D$48*$B$48)+(D$49*$B$49)+(D$50*$B$50)+(D$51*$B$51)+(D$52*$B$52)</f>
        <v>0</v>
      </c>
      <c r="E53" s="530">
        <f>(E$48*$B$48)+(E$49*$B$49)+(E$50*$B$50)+(E$51*$B$51)+(E$52*$B$52)</f>
        <v>0</v>
      </c>
      <c r="F53" s="530">
        <f>(F$48*$B$48)+(F$49*$B$49)+(F$50*$B$50)+(F$51*$B$51)+(F$52*$B$52)</f>
        <v>0</v>
      </c>
      <c r="G53" s="322"/>
      <c r="H53" s="322"/>
      <c r="I53" s="322"/>
      <c r="J53" s="322"/>
      <c r="K53" s="1"/>
    </row>
    <row r="54" spans="1:11" ht="12.75">
      <c r="A54" s="1"/>
      <c r="B54" s="1"/>
      <c r="C54" s="1"/>
      <c r="D54" s="1"/>
      <c r="E54" s="1"/>
      <c r="F54" s="1"/>
      <c r="G54" s="322"/>
      <c r="H54" s="322"/>
      <c r="I54" s="322"/>
      <c r="J54" s="322"/>
      <c r="K54" s="1"/>
    </row>
    <row r="55" spans="2:11" ht="12.75">
      <c r="B55" s="31"/>
      <c r="C55" s="47" t="s">
        <v>339</v>
      </c>
      <c r="D55" s="47" t="s">
        <v>348</v>
      </c>
      <c r="E55" s="409" t="s">
        <v>158</v>
      </c>
      <c r="F55" s="1"/>
      <c r="G55" s="322"/>
      <c r="H55" s="322"/>
      <c r="I55" s="322"/>
      <c r="J55" s="322"/>
      <c r="K55" s="1"/>
    </row>
    <row r="56" spans="1:11" ht="12.75">
      <c r="A56" s="49" t="s">
        <v>235</v>
      </c>
      <c r="B56" s="31"/>
      <c r="C56" s="46"/>
      <c r="D56" s="47"/>
      <c r="E56" s="410" t="s">
        <v>148</v>
      </c>
      <c r="F56" s="1"/>
      <c r="G56" s="322"/>
      <c r="H56" s="322"/>
      <c r="I56" s="322"/>
      <c r="J56" s="322"/>
      <c r="K56" s="1"/>
    </row>
    <row r="57" spans="1:11" ht="12.75">
      <c r="A57" s="39" t="s">
        <v>264</v>
      </c>
      <c r="B57" s="41">
        <v>1</v>
      </c>
      <c r="C57" s="884"/>
      <c r="D57" s="884"/>
      <c r="E57" s="884"/>
      <c r="F57" s="440">
        <f>SUM($C57:$E57)</f>
        <v>0</v>
      </c>
      <c r="G57" s="322"/>
      <c r="H57" s="322"/>
      <c r="I57" s="322"/>
      <c r="J57" s="322"/>
      <c r="K57" s="1"/>
    </row>
    <row r="58" spans="1:11" ht="12.75">
      <c r="A58" s="39" t="s">
        <v>94</v>
      </c>
      <c r="B58" s="41">
        <v>0.7</v>
      </c>
      <c r="C58" s="884"/>
      <c r="D58" s="884"/>
      <c r="E58" s="884"/>
      <c r="F58" s="440">
        <f aca="true" t="shared" si="4" ref="F58:F64">SUM($C58:$E58)</f>
        <v>0</v>
      </c>
      <c r="G58" s="322"/>
      <c r="H58" s="322"/>
      <c r="I58" s="322"/>
      <c r="J58" s="322"/>
      <c r="K58" s="1"/>
    </row>
    <row r="59" spans="1:11" ht="12.75">
      <c r="A59" s="43" t="s">
        <v>95</v>
      </c>
      <c r="B59" s="41">
        <v>0.45</v>
      </c>
      <c r="C59" s="884"/>
      <c r="D59" s="884"/>
      <c r="E59" s="884"/>
      <c r="F59" s="440">
        <f t="shared" si="4"/>
        <v>0</v>
      </c>
      <c r="G59" s="322"/>
      <c r="H59" s="322"/>
      <c r="I59" s="322"/>
      <c r="J59" s="322"/>
      <c r="K59" s="1"/>
    </row>
    <row r="60" spans="1:11" ht="12.75">
      <c r="A60" s="39" t="s">
        <v>96</v>
      </c>
      <c r="B60" s="41">
        <v>0.4</v>
      </c>
      <c r="C60" s="884"/>
      <c r="D60" s="884"/>
      <c r="E60" s="884"/>
      <c r="F60" s="440">
        <f t="shared" si="4"/>
        <v>0</v>
      </c>
      <c r="G60" s="322"/>
      <c r="H60" s="322"/>
      <c r="I60" s="322"/>
      <c r="J60" s="322"/>
      <c r="K60" s="1"/>
    </row>
    <row r="61" spans="1:11" ht="12.75">
      <c r="A61" s="43" t="s">
        <v>97</v>
      </c>
      <c r="B61" s="41">
        <v>0.25</v>
      </c>
      <c r="C61" s="884"/>
      <c r="D61" s="884"/>
      <c r="E61" s="884"/>
      <c r="F61" s="440">
        <f t="shared" si="4"/>
        <v>0</v>
      </c>
      <c r="G61" s="322"/>
      <c r="K61" s="1"/>
    </row>
    <row r="62" spans="1:11" ht="12.75">
      <c r="A62" s="39" t="s">
        <v>254</v>
      </c>
      <c r="B62" s="41">
        <v>0.25</v>
      </c>
      <c r="C62" s="884"/>
      <c r="D62" s="843"/>
      <c r="E62" s="884"/>
      <c r="F62" s="440">
        <f t="shared" si="4"/>
        <v>0</v>
      </c>
      <c r="K62" s="1"/>
    </row>
    <row r="63" spans="1:11" ht="12.75">
      <c r="A63" s="39" t="s">
        <v>98</v>
      </c>
      <c r="B63" s="74">
        <v>0.17</v>
      </c>
      <c r="C63" s="884"/>
      <c r="D63" s="843"/>
      <c r="E63" s="884"/>
      <c r="F63" s="440">
        <f t="shared" si="4"/>
        <v>0</v>
      </c>
      <c r="K63" s="1"/>
    </row>
    <row r="64" spans="1:11" ht="13.5" thickBot="1">
      <c r="A64" s="43" t="s">
        <v>255</v>
      </c>
      <c r="B64" s="41">
        <v>0.2</v>
      </c>
      <c r="C64" s="884"/>
      <c r="D64" s="843"/>
      <c r="E64" s="884"/>
      <c r="F64" s="440">
        <f t="shared" si="4"/>
        <v>0</v>
      </c>
      <c r="K64" s="1"/>
    </row>
    <row r="65" spans="1:11" ht="13.5" thickBot="1">
      <c r="A65" s="52" t="s">
        <v>99</v>
      </c>
      <c r="B65" s="415"/>
      <c r="C65" s="433">
        <f>(C$57*$B$57)+(C$58*$B$58)+(C$59*$B$59)+(C$60*$B$60)+(C$61*$B$61)+(C$62*$B$62)+(C$63*$B$63)+(C$64*$B$64)</f>
        <v>0</v>
      </c>
      <c r="D65" s="433">
        <f>(D$57*$B$57)+(D$58*$B$58)+(D$59*$B$59)+(D$60*$B$60)+(D$61*$B$61)+(D$62*$B$62)+(D$63*$B$63)+(D$64*$B$64)</f>
        <v>0</v>
      </c>
      <c r="E65" s="433">
        <f>(E$57*$B$57)+(E$58*$B$58)+(E$59*$B$59)+(E$60*$B$60)+(E$61*$B$61)+(E$62*$B$62)+(E$63*$B$63)+(E$64*$B$64)</f>
        <v>0</v>
      </c>
      <c r="K65" s="1"/>
    </row>
    <row r="66" spans="1:11" ht="12.75">
      <c r="A66" s="1"/>
      <c r="B66" s="1"/>
      <c r="C66" s="1"/>
      <c r="D66" s="1"/>
      <c r="E66" s="1"/>
      <c r="K66" s="1"/>
    </row>
    <row r="67" spans="1:11" ht="12.75">
      <c r="A67" s="1"/>
      <c r="B67" s="1"/>
      <c r="C67" s="1"/>
      <c r="D67" s="1"/>
      <c r="E67" s="1"/>
      <c r="K67" s="1"/>
    </row>
    <row r="68" spans="1:11" ht="12.75">
      <c r="A68" s="1"/>
      <c r="B68" s="1"/>
      <c r="C68" s="1"/>
      <c r="D68" s="1"/>
      <c r="E68" s="1"/>
      <c r="K68" s="1"/>
    </row>
    <row r="69" spans="1:11" ht="12.75">
      <c r="A69" s="1"/>
      <c r="B69" s="1"/>
      <c r="C69" s="1"/>
      <c r="D69" s="1"/>
      <c r="E69" s="1"/>
      <c r="K69" s="1"/>
    </row>
    <row r="70" spans="1:11" ht="12.75">
      <c r="A70" s="1"/>
      <c r="B70" s="1"/>
      <c r="C70" s="1"/>
      <c r="D70" s="1"/>
      <c r="E70" s="1"/>
      <c r="K70" s="1"/>
    </row>
    <row r="71" spans="1:11" ht="12.75">
      <c r="A71" s="1"/>
      <c r="B71" s="1"/>
      <c r="C71" s="1"/>
      <c r="D71" s="1"/>
      <c r="E71" s="1"/>
      <c r="K71" s="1"/>
    </row>
    <row r="72" spans="1:11" ht="12.75">
      <c r="A72" s="1"/>
      <c r="B72" s="1"/>
      <c r="C72" s="1"/>
      <c r="D72" s="1"/>
      <c r="E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sheetProtection sheet="1" objects="1" scenarios="1" formatCells="0" formatColumns="0" formatRows="0"/>
  <protectedRanges>
    <protectedRange sqref="C57:E64" name="Plage5"/>
    <protectedRange sqref="C48:F52" name="Plage4"/>
    <protectedRange sqref="C34:G39" name="Plage3"/>
    <protectedRange sqref="C17:J25" name="Plage2"/>
    <protectedRange sqref="E5:J10" name="Plage1"/>
  </protectedRanges>
  <mergeCells count="16">
    <mergeCell ref="B32:B33"/>
    <mergeCell ref="E6:J6"/>
    <mergeCell ref="E5:J5"/>
    <mergeCell ref="E10:J10"/>
    <mergeCell ref="E9:J9"/>
    <mergeCell ref="E8:J8"/>
    <mergeCell ref="E7:J7"/>
    <mergeCell ref="F13:J13"/>
    <mergeCell ref="C13:E13"/>
    <mergeCell ref="F14:F16"/>
    <mergeCell ref="D14:D16"/>
    <mergeCell ref="E14:E16"/>
    <mergeCell ref="G14:G16"/>
    <mergeCell ref="J14:J16"/>
    <mergeCell ref="I14:I16"/>
    <mergeCell ref="H14:H16"/>
  </mergeCells>
  <printOptions/>
  <pageMargins left="0.46" right="0.4" top="0.29" bottom="0.31" header="0.23" footer="0.23"/>
  <pageSetup horizontalDpi="600" verticalDpi="600" orientation="landscape" paperSize="9" scale="95" r:id="rId1"/>
  <headerFooter alignWithMargins="0">
    <oddFooter>&amp;RPage &amp;P</oddFooter>
  </headerFooter>
  <rowBreaks count="1" manualBreakCount="1">
    <brk id="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J286"/>
  <sheetViews>
    <sheetView showGridLines="0" showZeros="0" zoomScalePageLayoutView="0" workbookViewId="0" topLeftCell="A1">
      <selection activeCell="B37" sqref="B37"/>
    </sheetView>
  </sheetViews>
  <sheetFormatPr defaultColWidth="11.421875" defaultRowHeight="12.75"/>
  <cols>
    <col min="1" max="1" width="34.28125" style="0" customWidth="1"/>
    <col min="2" max="2" width="8.28125" style="0" customWidth="1"/>
    <col min="3" max="3" width="11.28125" style="0" customWidth="1"/>
    <col min="4" max="4" width="8.57421875" style="0" customWidth="1"/>
    <col min="5" max="5" width="14.57421875" style="0" customWidth="1"/>
    <col min="6" max="6" width="8.57421875" style="0" customWidth="1"/>
    <col min="7" max="7" width="2.57421875" style="0" customWidth="1"/>
    <col min="8" max="8" width="9.7109375" style="0" customWidth="1"/>
    <col min="9" max="9" width="8.421875" style="0" customWidth="1"/>
    <col min="10" max="10" width="6.28125" style="0" bestFit="1" customWidth="1"/>
    <col min="11" max="11" width="14.7109375" style="0" bestFit="1" customWidth="1"/>
    <col min="12" max="12" width="12.7109375" style="0" bestFit="1" customWidth="1"/>
    <col min="13" max="13" width="15.28125" style="0" bestFit="1" customWidth="1"/>
    <col min="14" max="14" width="10.28125" style="0" bestFit="1" customWidth="1"/>
    <col min="15" max="15" width="10.7109375" style="0" bestFit="1" customWidth="1"/>
    <col min="16" max="16" width="9.00390625" style="0" bestFit="1" customWidth="1"/>
    <col min="17" max="17" width="9.8515625" style="0" bestFit="1" customWidth="1"/>
    <col min="18" max="18" width="8.28125" style="0" bestFit="1" customWidth="1"/>
  </cols>
  <sheetData>
    <row r="1" spans="1:8" ht="24.75" customHeight="1">
      <c r="A1" s="341" t="s">
        <v>541</v>
      </c>
      <c r="B1" s="1"/>
      <c r="C1" s="1"/>
      <c r="D1" s="1"/>
      <c r="E1" s="1"/>
      <c r="F1" s="1"/>
      <c r="G1" s="1"/>
      <c r="H1" s="1"/>
    </row>
    <row r="2" spans="1:8" ht="13.5" customHeight="1">
      <c r="A2" s="341"/>
      <c r="B2" s="1"/>
      <c r="C2" s="1"/>
      <c r="D2" s="1"/>
      <c r="E2" s="1"/>
      <c r="F2" s="1"/>
      <c r="G2" s="1"/>
      <c r="H2" s="887" t="s">
        <v>540</v>
      </c>
    </row>
    <row r="3" spans="1:9" ht="25.5" customHeight="1">
      <c r="A3" s="310"/>
      <c r="B3" s="342"/>
      <c r="C3" s="343"/>
      <c r="D3" s="343"/>
      <c r="E3" s="9"/>
      <c r="F3" s="343"/>
      <c r="G3" s="343"/>
      <c r="H3" s="976" t="s">
        <v>530</v>
      </c>
      <c r="I3" s="976"/>
    </row>
    <row r="4" spans="1:9" s="322" customFormat="1" ht="26.25">
      <c r="A4" s="348" t="s">
        <v>80</v>
      </c>
      <c r="B4" s="332" t="s">
        <v>81</v>
      </c>
      <c r="C4" s="352" t="s">
        <v>82</v>
      </c>
      <c r="D4" s="355" t="s">
        <v>83</v>
      </c>
      <c r="E4" s="309"/>
      <c r="F4" s="349"/>
      <c r="G4" s="349"/>
      <c r="H4" s="897" t="s">
        <v>526</v>
      </c>
      <c r="I4" s="898" t="s">
        <v>531</v>
      </c>
    </row>
    <row r="5" spans="1:9" s="322" customFormat="1" ht="12.75">
      <c r="A5" s="523" t="s">
        <v>258</v>
      </c>
      <c r="B5" s="548">
        <f>'Bétail et systèmes de garde'!$K17</f>
        <v>0</v>
      </c>
      <c r="C5" s="353">
        <v>1</v>
      </c>
      <c r="D5" s="391">
        <f aca="true" t="shared" si="0" ref="D5:D13">$B5*$C5</f>
        <v>0</v>
      </c>
      <c r="E5" s="325"/>
      <c r="F5" s="312"/>
      <c r="G5" s="325"/>
      <c r="H5" s="404">
        <v>0.5</v>
      </c>
      <c r="I5" s="888">
        <f>$D5*$H$5</f>
        <v>0</v>
      </c>
    </row>
    <row r="6" spans="1:9" s="322" customFormat="1" ht="12.75">
      <c r="A6" s="523" t="s">
        <v>259</v>
      </c>
      <c r="B6" s="548">
        <f>'Bétail et systèmes de garde'!$K18</f>
        <v>0</v>
      </c>
      <c r="C6" s="354">
        <v>0.25</v>
      </c>
      <c r="D6" s="391">
        <f t="shared" si="0"/>
        <v>0</v>
      </c>
      <c r="E6" s="325"/>
      <c r="F6" s="312"/>
      <c r="G6" s="325"/>
      <c r="H6" s="404">
        <v>0.5</v>
      </c>
      <c r="I6" s="888">
        <f aca="true" t="shared" si="1" ref="I6:I13">$D6*$H$5</f>
        <v>0</v>
      </c>
    </row>
    <row r="7" spans="1:9" s="322" customFormat="1" ht="12.75">
      <c r="A7" s="523" t="s">
        <v>268</v>
      </c>
      <c r="B7" s="548">
        <f>'Bétail et systèmes de garde'!$K19</f>
        <v>0</v>
      </c>
      <c r="C7" s="353">
        <v>0.4</v>
      </c>
      <c r="D7" s="391">
        <f t="shared" si="0"/>
        <v>0</v>
      </c>
      <c r="E7" s="325"/>
      <c r="F7" s="312"/>
      <c r="G7" s="325"/>
      <c r="H7" s="404">
        <v>0.5</v>
      </c>
      <c r="I7" s="888">
        <f t="shared" si="1"/>
        <v>0</v>
      </c>
    </row>
    <row r="8" spans="1:9" s="322" customFormat="1" ht="12.75">
      <c r="A8" s="523" t="s">
        <v>267</v>
      </c>
      <c r="B8" s="548">
        <f>'Bétail et systèmes de garde'!$K20</f>
        <v>0</v>
      </c>
      <c r="C8" s="353">
        <v>0.6</v>
      </c>
      <c r="D8" s="391">
        <f t="shared" si="0"/>
        <v>0</v>
      </c>
      <c r="E8" s="325"/>
      <c r="F8" s="312"/>
      <c r="G8" s="325"/>
      <c r="H8" s="404">
        <v>0.5</v>
      </c>
      <c r="I8" s="888">
        <f t="shared" si="1"/>
        <v>0</v>
      </c>
    </row>
    <row r="9" spans="1:9" s="322" customFormat="1" ht="12.75">
      <c r="A9" s="523" t="s">
        <v>467</v>
      </c>
      <c r="B9" s="548">
        <f>'Bétail et systèmes de garde'!$K21</f>
        <v>0</v>
      </c>
      <c r="C9" s="353">
        <v>0.8</v>
      </c>
      <c r="D9" s="391">
        <f t="shared" si="0"/>
        <v>0</v>
      </c>
      <c r="E9" s="325"/>
      <c r="F9" s="312"/>
      <c r="G9" s="325"/>
      <c r="H9" s="404">
        <v>0.5</v>
      </c>
      <c r="I9" s="888">
        <f t="shared" si="1"/>
        <v>0</v>
      </c>
    </row>
    <row r="10" spans="1:9" s="322" customFormat="1" ht="12.75">
      <c r="A10" s="332" t="s">
        <v>260</v>
      </c>
      <c r="B10" s="548">
        <f>'Bétail et systèmes de garde'!$K22</f>
        <v>0</v>
      </c>
      <c r="C10" s="353">
        <v>0.17</v>
      </c>
      <c r="D10" s="391">
        <f t="shared" si="0"/>
        <v>0</v>
      </c>
      <c r="E10" s="325"/>
      <c r="F10" s="312"/>
      <c r="G10" s="325"/>
      <c r="H10" s="404">
        <v>0.5</v>
      </c>
      <c r="I10" s="888">
        <f t="shared" si="1"/>
        <v>0</v>
      </c>
    </row>
    <row r="11" spans="1:9" s="322" customFormat="1" ht="12.75">
      <c r="A11" s="523" t="s">
        <v>261</v>
      </c>
      <c r="B11" s="548">
        <f>'Bétail et systèmes de garde'!$K23</f>
        <v>0</v>
      </c>
      <c r="C11" s="353">
        <v>0.1</v>
      </c>
      <c r="D11" s="391">
        <f t="shared" si="0"/>
        <v>0</v>
      </c>
      <c r="E11" s="325"/>
      <c r="F11" s="312"/>
      <c r="G11" s="325"/>
      <c r="H11" s="889">
        <v>1</v>
      </c>
      <c r="I11" s="888">
        <f t="shared" si="1"/>
        <v>0</v>
      </c>
    </row>
    <row r="12" spans="1:9" s="322" customFormat="1" ht="12.75">
      <c r="A12" s="523" t="s">
        <v>262</v>
      </c>
      <c r="B12" s="548">
        <f>'Bétail et systèmes de garde'!$K24</f>
        <v>0</v>
      </c>
      <c r="C12" s="354">
        <v>0.08</v>
      </c>
      <c r="D12" s="391">
        <f t="shared" si="0"/>
        <v>0</v>
      </c>
      <c r="E12" s="325"/>
      <c r="F12" s="312"/>
      <c r="G12" s="325"/>
      <c r="H12" s="889">
        <v>1</v>
      </c>
      <c r="I12" s="888">
        <f t="shared" si="1"/>
        <v>0</v>
      </c>
    </row>
    <row r="13" spans="1:9" s="322" customFormat="1" ht="13.5" thickBot="1">
      <c r="A13" s="523" t="s">
        <v>263</v>
      </c>
      <c r="B13" s="548">
        <f>'Bétail et systèmes de garde'!$K25</f>
        <v>0</v>
      </c>
      <c r="C13" s="353">
        <v>0.4</v>
      </c>
      <c r="D13" s="426">
        <f t="shared" si="0"/>
        <v>0</v>
      </c>
      <c r="E13" s="325"/>
      <c r="F13" s="312"/>
      <c r="G13" s="325"/>
      <c r="H13" s="404">
        <v>0.5</v>
      </c>
      <c r="I13" s="888">
        <f t="shared" si="1"/>
        <v>0</v>
      </c>
    </row>
    <row r="14" spans="1:8" s="322" customFormat="1" ht="14.25" thickBot="1" thickTop="1">
      <c r="A14" s="358" t="s">
        <v>84</v>
      </c>
      <c r="B14" s="793">
        <f>SUM(B5:B13)</f>
        <v>0</v>
      </c>
      <c r="C14" s="328"/>
      <c r="D14" s="814">
        <f>SUM(D5:D13)</f>
        <v>0</v>
      </c>
      <c r="E14" s="325"/>
      <c r="F14" s="312"/>
      <c r="G14" s="325"/>
      <c r="H14" s="323"/>
    </row>
    <row r="15" spans="1:8" s="322" customFormat="1" ht="13.5" thickTop="1">
      <c r="A15" s="323"/>
      <c r="B15" s="321"/>
      <c r="C15" s="328"/>
      <c r="D15" s="323"/>
      <c r="E15" s="325"/>
      <c r="F15" s="312"/>
      <c r="G15" s="325"/>
      <c r="H15" s="323"/>
    </row>
    <row r="16" spans="1:8" s="322" customFormat="1" ht="12.75">
      <c r="A16" s="312"/>
      <c r="C16" s="312"/>
      <c r="D16" s="323"/>
      <c r="E16" s="325"/>
      <c r="F16" s="309"/>
      <c r="G16" s="325"/>
      <c r="H16" s="323"/>
    </row>
    <row r="17" spans="1:6" s="322" customFormat="1" ht="12.75">
      <c r="A17" s="348" t="s">
        <v>85</v>
      </c>
      <c r="B17" s="332" t="s">
        <v>81</v>
      </c>
      <c r="C17" s="354"/>
      <c r="D17" s="354" t="s">
        <v>86</v>
      </c>
      <c r="E17" s="352" t="s">
        <v>82</v>
      </c>
      <c r="F17" s="355" t="s">
        <v>83</v>
      </c>
    </row>
    <row r="18" spans="1:9" s="322" customFormat="1" ht="12.75">
      <c r="A18" s="523" t="s">
        <v>497</v>
      </c>
      <c r="B18" s="548">
        <f>'Bétail et systèmes de garde'!I34</f>
        <v>0</v>
      </c>
      <c r="C18" s="354" t="s">
        <v>543</v>
      </c>
      <c r="D18" s="554">
        <f aca="true" t="shared" si="2" ref="D18:D23">$F18*6</f>
        <v>0</v>
      </c>
      <c r="E18" s="353">
        <v>0.17</v>
      </c>
      <c r="F18" s="391">
        <f aca="true" t="shared" si="3" ref="F18:F23">$B18*$E18</f>
        <v>0</v>
      </c>
      <c r="H18" s="890">
        <v>1</v>
      </c>
      <c r="I18" s="891">
        <f aca="true" t="shared" si="4" ref="I18:I23">$H$18*$F18</f>
        <v>0</v>
      </c>
    </row>
    <row r="19" spans="1:9" s="322" customFormat="1" ht="12.75">
      <c r="A19" s="523" t="s">
        <v>496</v>
      </c>
      <c r="B19" s="548">
        <f>'Bétail et systèmes de garde'!I35</f>
        <v>0</v>
      </c>
      <c r="C19" s="354" t="s">
        <v>543</v>
      </c>
      <c r="D19" s="554">
        <f t="shared" si="2"/>
        <v>0</v>
      </c>
      <c r="E19" s="353">
        <f>E18*2.7</f>
        <v>0.4590000000000001</v>
      </c>
      <c r="F19" s="391">
        <f t="shared" si="3"/>
        <v>0</v>
      </c>
      <c r="H19" s="892">
        <v>1</v>
      </c>
      <c r="I19" s="891">
        <f t="shared" si="4"/>
        <v>0</v>
      </c>
    </row>
    <row r="20" spans="1:9" s="322" customFormat="1" ht="13.5" thickBot="1">
      <c r="A20" s="524" t="s">
        <v>246</v>
      </c>
      <c r="B20" s="665">
        <f>'Bétail et systèmes de garde'!$I36</f>
        <v>0</v>
      </c>
      <c r="C20" s="354" t="s">
        <v>543</v>
      </c>
      <c r="D20" s="554">
        <f t="shared" si="2"/>
        <v>0</v>
      </c>
      <c r="E20" s="429">
        <v>0.25</v>
      </c>
      <c r="F20" s="426">
        <f t="shared" si="3"/>
        <v>0</v>
      </c>
      <c r="H20" s="892">
        <v>1</v>
      </c>
      <c r="I20" s="891">
        <f t="shared" si="4"/>
        <v>0</v>
      </c>
    </row>
    <row r="21" spans="1:9" s="322" customFormat="1" ht="13.5" thickTop="1">
      <c r="A21" s="846" t="s">
        <v>494</v>
      </c>
      <c r="B21" s="847">
        <f>'Bétail et systèmes de garde'!I37</f>
        <v>0</v>
      </c>
      <c r="C21" s="354" t="s">
        <v>543</v>
      </c>
      <c r="D21" s="554">
        <f t="shared" si="2"/>
        <v>0</v>
      </c>
      <c r="E21" s="848">
        <f>E19*1.2</f>
        <v>0.5508000000000001</v>
      </c>
      <c r="F21" s="849">
        <f t="shared" si="3"/>
        <v>0</v>
      </c>
      <c r="H21" s="892">
        <v>1</v>
      </c>
      <c r="I21" s="891">
        <f t="shared" si="4"/>
        <v>0</v>
      </c>
    </row>
    <row r="22" spans="1:9" s="322" customFormat="1" ht="12.75">
      <c r="A22" s="855" t="s">
        <v>500</v>
      </c>
      <c r="B22" s="548">
        <f>'Bétail et systèmes de garde'!I38</f>
        <v>0</v>
      </c>
      <c r="C22" s="354" t="s">
        <v>543</v>
      </c>
      <c r="D22" s="554">
        <f t="shared" si="2"/>
        <v>0</v>
      </c>
      <c r="E22" s="815">
        <v>0.26</v>
      </c>
      <c r="F22" s="391">
        <f t="shared" si="3"/>
        <v>0</v>
      </c>
      <c r="H22" s="892">
        <v>1</v>
      </c>
      <c r="I22" s="891">
        <f t="shared" si="4"/>
        <v>0</v>
      </c>
    </row>
    <row r="23" spans="1:9" s="322" customFormat="1" ht="13.5" thickBot="1">
      <c r="A23" s="854" t="s">
        <v>501</v>
      </c>
      <c r="B23" s="665">
        <f>'Bétail et systèmes de garde'!I39</f>
        <v>0</v>
      </c>
      <c r="C23" s="354" t="s">
        <v>543</v>
      </c>
      <c r="D23" s="554">
        <f t="shared" si="2"/>
        <v>0</v>
      </c>
      <c r="E23" s="353">
        <v>0.06</v>
      </c>
      <c r="F23" s="426">
        <f t="shared" si="3"/>
        <v>0</v>
      </c>
      <c r="H23" s="893">
        <v>1</v>
      </c>
      <c r="I23" s="891">
        <f t="shared" si="4"/>
        <v>0</v>
      </c>
    </row>
    <row r="24" spans="1:6" s="322" customFormat="1" ht="14.25" thickBot="1" thickTop="1">
      <c r="A24" s="850" t="s">
        <v>87</v>
      </c>
      <c r="B24" s="793">
        <f>SUM(B18:B23)</f>
        <v>0</v>
      </c>
      <c r="C24" s="326"/>
      <c r="D24" s="797">
        <f>SUM(D18:D23)</f>
        <v>0</v>
      </c>
      <c r="E24" s="328"/>
      <c r="F24" s="814">
        <f>SUM(F18:F23)</f>
        <v>0</v>
      </c>
    </row>
    <row r="25" spans="1:8" s="322" customFormat="1" ht="13.5" thickTop="1">
      <c r="A25" s="323"/>
      <c r="B25" s="321"/>
      <c r="C25" s="328"/>
      <c r="D25" s="323"/>
      <c r="E25" s="326"/>
      <c r="F25" s="350"/>
      <c r="G25" s="323"/>
      <c r="H25" s="351"/>
    </row>
    <row r="26" spans="1:8" s="322" customFormat="1" ht="12.75">
      <c r="A26" s="323"/>
      <c r="C26" s="328"/>
      <c r="D26" s="323"/>
      <c r="E26" s="323"/>
      <c r="F26" s="323"/>
      <c r="G26" s="323"/>
      <c r="H26" s="351"/>
    </row>
    <row r="27" spans="1:8" s="322" customFormat="1" ht="12.75">
      <c r="A27" s="348" t="s">
        <v>88</v>
      </c>
      <c r="B27" s="332" t="s">
        <v>81</v>
      </c>
      <c r="C27" s="352" t="s">
        <v>82</v>
      </c>
      <c r="D27" s="355" t="s">
        <v>89</v>
      </c>
      <c r="E27" s="354"/>
      <c r="F27" s="354" t="s">
        <v>83</v>
      </c>
      <c r="G27" s="312"/>
      <c r="H27" s="323"/>
    </row>
    <row r="28" spans="1:9" s="322" customFormat="1" ht="12.75">
      <c r="A28" s="523" t="s">
        <v>243</v>
      </c>
      <c r="B28" s="552">
        <f>'Bétail et systèmes de garde'!$G48</f>
        <v>0</v>
      </c>
      <c r="C28" s="353">
        <v>1</v>
      </c>
      <c r="D28" s="544">
        <f>$B28*$C28</f>
        <v>0</v>
      </c>
      <c r="E28" s="357" t="s">
        <v>183</v>
      </c>
      <c r="F28" s="554">
        <f>$D28/100</f>
        <v>0</v>
      </c>
      <c r="G28" s="312"/>
      <c r="H28" s="894">
        <v>1</v>
      </c>
      <c r="I28" s="888">
        <f>$H$28*$F28</f>
        <v>0</v>
      </c>
    </row>
    <row r="29" spans="1:9" s="322" customFormat="1" ht="12.75">
      <c r="A29" s="523" t="s">
        <v>244</v>
      </c>
      <c r="B29" s="552">
        <f>'Bétail et systèmes de garde'!$G49</f>
        <v>0</v>
      </c>
      <c r="C29" s="353">
        <v>0.4</v>
      </c>
      <c r="D29" s="544">
        <f>$B29*$C29</f>
        <v>0</v>
      </c>
      <c r="E29" s="357" t="s">
        <v>183</v>
      </c>
      <c r="F29" s="554">
        <f>$D29/100</f>
        <v>0</v>
      </c>
      <c r="G29" s="312"/>
      <c r="H29" s="894">
        <v>1</v>
      </c>
      <c r="I29" s="888">
        <f>$H$28*$F29</f>
        <v>0</v>
      </c>
    </row>
    <row r="30" spans="1:9" s="322" customFormat="1" ht="12.75">
      <c r="A30" s="523" t="s">
        <v>245</v>
      </c>
      <c r="B30" s="552">
        <f>'Bétail et systèmes de garde'!$G50</f>
        <v>0</v>
      </c>
      <c r="C30" s="353">
        <v>0.4</v>
      </c>
      <c r="D30" s="544">
        <f>$B30*$C30</f>
        <v>0</v>
      </c>
      <c r="E30" s="357" t="s">
        <v>183</v>
      </c>
      <c r="F30" s="554">
        <f>$D30/100</f>
        <v>0</v>
      </c>
      <c r="G30" s="312"/>
      <c r="H30" s="894">
        <v>1</v>
      </c>
      <c r="I30" s="888">
        <f>$H$28*$F30</f>
        <v>0</v>
      </c>
    </row>
    <row r="31" spans="1:9" s="322" customFormat="1" ht="12.75">
      <c r="A31" s="332" t="s">
        <v>90</v>
      </c>
      <c r="B31" s="552">
        <f>'Bétail et systèmes de garde'!$G51</f>
        <v>0</v>
      </c>
      <c r="C31" s="429">
        <v>1.5</v>
      </c>
      <c r="D31" s="544">
        <f>$B31*$C31</f>
        <v>0</v>
      </c>
      <c r="E31" s="357" t="s">
        <v>183</v>
      </c>
      <c r="F31" s="554">
        <f>$D31/100</f>
        <v>0</v>
      </c>
      <c r="G31" s="312"/>
      <c r="H31" s="894">
        <v>1</v>
      </c>
      <c r="I31" s="888">
        <f>$H$28*$F31</f>
        <v>0</v>
      </c>
    </row>
    <row r="32" spans="1:9" s="322" customFormat="1" ht="13.5" thickBot="1">
      <c r="A32" s="524" t="s">
        <v>91</v>
      </c>
      <c r="B32" s="552">
        <f>'Bétail et systèmes de garde'!$G52</f>
        <v>0</v>
      </c>
      <c r="C32" s="353">
        <v>0.25</v>
      </c>
      <c r="D32" s="544">
        <f>$B32*$C32</f>
        <v>0</v>
      </c>
      <c r="E32" s="357" t="s">
        <v>183</v>
      </c>
      <c r="F32" s="554">
        <f>$D32/100</f>
        <v>0</v>
      </c>
      <c r="G32" s="312"/>
      <c r="H32" s="894">
        <v>1</v>
      </c>
      <c r="I32" s="888">
        <f>$H$28*$F32</f>
        <v>0</v>
      </c>
    </row>
    <row r="33" spans="1:8" s="322" customFormat="1" ht="14.25" thickBot="1" thickTop="1">
      <c r="A33" s="358" t="s">
        <v>92</v>
      </c>
      <c r="B33" s="546">
        <f>SUM(B28:B32)</f>
        <v>0</v>
      </c>
      <c r="C33" s="325"/>
      <c r="D33" s="537">
        <f>SUM(D28:D32)</f>
        <v>0</v>
      </c>
      <c r="E33" s="314"/>
      <c r="F33" s="797">
        <f>SUM(F28:F32)</f>
        <v>0</v>
      </c>
      <c r="G33" s="312"/>
      <c r="H33" s="351"/>
    </row>
    <row r="34" spans="1:8" s="322" customFormat="1" ht="13.5" thickTop="1">
      <c r="A34" s="323"/>
      <c r="B34" s="321"/>
      <c r="C34" s="325"/>
      <c r="D34" s="312"/>
      <c r="E34" s="314"/>
      <c r="F34" s="312"/>
      <c r="G34" s="312"/>
      <c r="H34" s="351"/>
    </row>
    <row r="35" spans="1:8" s="322" customFormat="1" ht="12.75">
      <c r="A35" s="312"/>
      <c r="B35" s="312"/>
      <c r="C35" s="312"/>
      <c r="D35" s="312"/>
      <c r="E35" s="312"/>
      <c r="F35" s="312"/>
      <c r="G35" s="323"/>
      <c r="H35" s="312"/>
    </row>
    <row r="36" spans="1:9" s="322" customFormat="1" ht="12.75">
      <c r="A36" s="348" t="s">
        <v>235</v>
      </c>
      <c r="B36" s="332" t="s">
        <v>81</v>
      </c>
      <c r="C36" s="352" t="s">
        <v>82</v>
      </c>
      <c r="D36" s="355" t="s">
        <v>83</v>
      </c>
      <c r="E36" s="325"/>
      <c r="F36" s="323"/>
      <c r="G36" s="323"/>
      <c r="H36" s="901"/>
      <c r="I36" s="902"/>
    </row>
    <row r="37" spans="1:9" s="322" customFormat="1" ht="12.75">
      <c r="A37" s="523" t="s">
        <v>264</v>
      </c>
      <c r="B37" s="354">
        <f>'Bétail et systèmes de garde'!$F57</f>
        <v>0</v>
      </c>
      <c r="C37" s="815">
        <v>1</v>
      </c>
      <c r="D37" s="554">
        <f aca="true" t="shared" si="5" ref="D37:D44">$B37*$C37</f>
        <v>0</v>
      </c>
      <c r="E37" s="312"/>
      <c r="F37" s="323"/>
      <c r="G37" s="327"/>
      <c r="H37" s="894">
        <v>1</v>
      </c>
      <c r="I37" s="888">
        <f>$D37*$H37</f>
        <v>0</v>
      </c>
    </row>
    <row r="38" spans="1:9" s="322" customFormat="1" ht="12.75">
      <c r="A38" s="523" t="s">
        <v>94</v>
      </c>
      <c r="B38" s="354">
        <f>'Bétail et systèmes de garde'!$F58</f>
        <v>0</v>
      </c>
      <c r="C38" s="815">
        <v>0.7</v>
      </c>
      <c r="D38" s="554">
        <f t="shared" si="5"/>
        <v>0</v>
      </c>
      <c r="E38" s="323"/>
      <c r="F38" s="323"/>
      <c r="G38" s="323"/>
      <c r="H38" s="894">
        <v>1</v>
      </c>
      <c r="I38" s="888">
        <f aca="true" t="shared" si="6" ref="I38:I44">$D38*$H38</f>
        <v>0</v>
      </c>
    </row>
    <row r="39" spans="1:9" s="322" customFormat="1" ht="12.75">
      <c r="A39" s="332" t="s">
        <v>95</v>
      </c>
      <c r="B39" s="354">
        <f>'Bétail et systèmes de garde'!$F59</f>
        <v>0</v>
      </c>
      <c r="C39" s="815">
        <v>0.45</v>
      </c>
      <c r="D39" s="554">
        <f t="shared" si="5"/>
        <v>0</v>
      </c>
      <c r="E39" s="323"/>
      <c r="F39" s="323"/>
      <c r="G39" s="323"/>
      <c r="H39" s="894">
        <v>1</v>
      </c>
      <c r="I39" s="888">
        <f t="shared" si="6"/>
        <v>0</v>
      </c>
    </row>
    <row r="40" spans="1:9" s="322" customFormat="1" ht="12.75">
      <c r="A40" s="523" t="s">
        <v>96</v>
      </c>
      <c r="B40" s="354">
        <f>'Bétail et systèmes de garde'!$F60</f>
        <v>0</v>
      </c>
      <c r="C40" s="815">
        <v>0.4</v>
      </c>
      <c r="D40" s="554">
        <f t="shared" si="5"/>
        <v>0</v>
      </c>
      <c r="E40" s="323"/>
      <c r="F40" s="323"/>
      <c r="G40" s="323"/>
      <c r="H40" s="894">
        <v>1</v>
      </c>
      <c r="I40" s="888">
        <f t="shared" si="6"/>
        <v>0</v>
      </c>
    </row>
    <row r="41" spans="1:9" s="322" customFormat="1" ht="12.75">
      <c r="A41" s="332" t="s">
        <v>97</v>
      </c>
      <c r="B41" s="354">
        <f>'Bétail et systèmes de garde'!$F61</f>
        <v>0</v>
      </c>
      <c r="C41" s="815">
        <v>0.25</v>
      </c>
      <c r="D41" s="554">
        <f t="shared" si="5"/>
        <v>0</v>
      </c>
      <c r="E41" s="323"/>
      <c r="F41" s="323"/>
      <c r="G41" s="323"/>
      <c r="H41" s="894">
        <v>1</v>
      </c>
      <c r="I41" s="888">
        <f t="shared" si="6"/>
        <v>0</v>
      </c>
    </row>
    <row r="42" spans="1:9" s="322" customFormat="1" ht="12.75">
      <c r="A42" s="523" t="s">
        <v>254</v>
      </c>
      <c r="B42" s="354">
        <f>'Bétail et systèmes de garde'!$F62</f>
        <v>0</v>
      </c>
      <c r="C42" s="353">
        <v>0.25</v>
      </c>
      <c r="D42" s="554">
        <f t="shared" si="5"/>
        <v>0</v>
      </c>
      <c r="E42" s="323"/>
      <c r="F42" s="323"/>
      <c r="G42" s="323"/>
      <c r="H42" s="894">
        <v>1</v>
      </c>
      <c r="I42" s="888">
        <f t="shared" si="6"/>
        <v>0</v>
      </c>
    </row>
    <row r="43" spans="1:9" s="322" customFormat="1" ht="12.75">
      <c r="A43" s="523" t="s">
        <v>98</v>
      </c>
      <c r="B43" s="354">
        <f>'Bétail et systèmes de garde'!$F63</f>
        <v>0</v>
      </c>
      <c r="C43" s="815">
        <v>0.17</v>
      </c>
      <c r="D43" s="554">
        <f t="shared" si="5"/>
        <v>0</v>
      </c>
      <c r="E43" s="323"/>
      <c r="F43" s="323"/>
      <c r="G43" s="323"/>
      <c r="H43" s="894">
        <v>1</v>
      </c>
      <c r="I43" s="888">
        <f t="shared" si="6"/>
        <v>0</v>
      </c>
    </row>
    <row r="44" spans="1:9" s="322" customFormat="1" ht="13.5" thickBot="1">
      <c r="A44" s="332" t="s">
        <v>255</v>
      </c>
      <c r="B44" s="354">
        <f>'Bétail et systèmes de garde'!$F64</f>
        <v>0</v>
      </c>
      <c r="C44" s="353">
        <v>0.2</v>
      </c>
      <c r="D44" s="554">
        <f t="shared" si="5"/>
        <v>0</v>
      </c>
      <c r="E44" s="323"/>
      <c r="F44" s="323"/>
      <c r="G44" s="323"/>
      <c r="H44" s="894">
        <v>1</v>
      </c>
      <c r="I44" s="888">
        <f t="shared" si="6"/>
        <v>0</v>
      </c>
    </row>
    <row r="45" spans="1:8" ht="14.25" thickBot="1" thickTop="1">
      <c r="A45" s="359" t="s">
        <v>84</v>
      </c>
      <c r="B45" s="794">
        <f>SUM(B37:B44)</f>
        <v>0</v>
      </c>
      <c r="C45" s="323"/>
      <c r="D45" s="814">
        <f>SUM(D37:D44)</f>
        <v>0</v>
      </c>
      <c r="E45" s="342"/>
      <c r="F45" s="342"/>
      <c r="G45" s="342"/>
      <c r="H45" s="311"/>
    </row>
    <row r="46" spans="1:8" ht="13.5" thickTop="1">
      <c r="A46" s="342"/>
      <c r="B46" s="342"/>
      <c r="C46" s="342"/>
      <c r="D46" s="342"/>
      <c r="E46" s="342"/>
      <c r="F46" s="342"/>
      <c r="G46" s="342"/>
      <c r="H46" s="311"/>
    </row>
    <row r="47" spans="1:9" ht="12.75">
      <c r="A47" s="311" t="s">
        <v>99</v>
      </c>
      <c r="B47" s="311"/>
      <c r="C47" s="311"/>
      <c r="E47" s="311"/>
      <c r="F47" s="816">
        <f>$D$45+$F$33+$F$24+$D$14</f>
        <v>0</v>
      </c>
      <c r="G47" s="342"/>
      <c r="H47" s="311"/>
      <c r="I47" s="895">
        <f>SUM(I5:I46)</f>
        <v>0</v>
      </c>
    </row>
    <row r="48" spans="1:8" ht="12.75">
      <c r="A48" s="311"/>
      <c r="B48" s="311"/>
      <c r="C48" s="311"/>
      <c r="E48" s="311"/>
      <c r="F48" s="817"/>
      <c r="G48" s="342"/>
      <c r="H48" s="311"/>
    </row>
    <row r="49" spans="1:8" ht="12.75">
      <c r="A49" s="311" t="s">
        <v>100</v>
      </c>
      <c r="B49" s="911"/>
      <c r="C49" s="346" t="s">
        <v>101</v>
      </c>
      <c r="D49" s="910"/>
      <c r="E49" s="346" t="s">
        <v>102</v>
      </c>
      <c r="F49" s="818">
        <f>(B49*D49)/365</f>
        <v>0</v>
      </c>
      <c r="G49" s="342"/>
      <c r="H49" s="896" t="s">
        <v>529</v>
      </c>
    </row>
    <row r="50" spans="1:8" ht="12.75">
      <c r="A50" s="311"/>
      <c r="B50" s="311"/>
      <c r="C50" s="311"/>
      <c r="D50" s="311"/>
      <c r="E50" s="346"/>
      <c r="F50" s="817"/>
      <c r="G50" s="342"/>
      <c r="H50" s="311"/>
    </row>
    <row r="51" spans="1:8" ht="12.75">
      <c r="A51" s="311" t="s">
        <v>103</v>
      </c>
      <c r="B51" s="311"/>
      <c r="C51" s="311"/>
      <c r="D51" s="311"/>
      <c r="E51" s="311"/>
      <c r="F51" s="816">
        <f>$F$47-$F$49</f>
        <v>0</v>
      </c>
      <c r="G51" s="342"/>
      <c r="H51" s="342"/>
    </row>
    <row r="52" spans="2:8" ht="12.75">
      <c r="B52" s="311"/>
      <c r="C52" s="311"/>
      <c r="D52" s="493">
        <f>$F$51</f>
        <v>0</v>
      </c>
      <c r="E52" s="311"/>
      <c r="F52" s="311"/>
      <c r="G52" s="342"/>
      <c r="H52" s="342"/>
    </row>
    <row r="53" spans="1:8" ht="14.25" customHeight="1">
      <c r="A53" s="311" t="s">
        <v>104</v>
      </c>
      <c r="E53" s="522" t="e">
        <f>$D$52/$D$54</f>
        <v>#DIV/0!</v>
      </c>
      <c r="F53" s="311"/>
      <c r="G53" s="342"/>
      <c r="H53" s="342"/>
    </row>
    <row r="54" spans="4:8" ht="12.75">
      <c r="D54" s="494">
        <f>'Données générales'!$G$47</f>
        <v>0</v>
      </c>
      <c r="E54" s="311"/>
      <c r="F54" s="311"/>
      <c r="G54" s="342"/>
      <c r="H54" s="342"/>
    </row>
    <row r="55" spans="1:8" ht="12.75">
      <c r="A55" s="311"/>
      <c r="B55" s="311"/>
      <c r="C55" s="311"/>
      <c r="D55" s="311"/>
      <c r="E55" s="311"/>
      <c r="F55" s="311"/>
      <c r="G55" s="342"/>
      <c r="H55" s="342"/>
    </row>
    <row r="56" spans="1:8" ht="12.75">
      <c r="A56" s="342"/>
      <c r="B56" s="342"/>
      <c r="C56" s="342"/>
      <c r="D56" s="342"/>
      <c r="E56" s="342"/>
      <c r="F56" s="342"/>
      <c r="G56" s="342"/>
      <c r="H56" s="342"/>
    </row>
    <row r="57" spans="1:8" ht="12.75">
      <c r="A57" s="342"/>
      <c r="B57" s="342"/>
      <c r="C57" s="342"/>
      <c r="D57" s="344"/>
      <c r="E57" s="342"/>
      <c r="F57" s="342"/>
      <c r="G57" s="342"/>
      <c r="H57" s="342"/>
    </row>
    <row r="58" spans="1:8" ht="12.75">
      <c r="A58" s="319"/>
      <c r="B58" s="371"/>
      <c r="C58" s="370"/>
      <c r="D58" s="347"/>
      <c r="E58" s="364"/>
      <c r="F58" s="363"/>
      <c r="G58" s="365"/>
      <c r="H58" s="362"/>
    </row>
    <row r="59" spans="1:10" ht="12.75">
      <c r="A59" s="319"/>
      <c r="B59" s="4"/>
      <c r="C59" s="311"/>
      <c r="D59" s="311"/>
      <c r="E59" s="338"/>
      <c r="F59" s="366"/>
      <c r="G59" s="369"/>
      <c r="H59" s="361"/>
      <c r="I59" s="342"/>
      <c r="J59" s="345"/>
    </row>
    <row r="60" spans="1:10" ht="12.75">
      <c r="A60" s="363"/>
      <c r="B60" s="367"/>
      <c r="C60" s="368"/>
      <c r="D60" s="367"/>
      <c r="E60" s="363"/>
      <c r="F60" s="363"/>
      <c r="G60" s="365"/>
      <c r="H60" s="361"/>
      <c r="I60" s="342"/>
      <c r="J60" s="342"/>
    </row>
    <row r="61" spans="1:10" ht="12.75">
      <c r="A61" s="363"/>
      <c r="B61" s="363"/>
      <c r="C61" s="363"/>
      <c r="D61" s="363"/>
      <c r="E61" s="363"/>
      <c r="F61" s="363"/>
      <c r="G61" s="369"/>
      <c r="H61" s="361"/>
      <c r="I61" s="342"/>
      <c r="J61" s="342"/>
    </row>
    <row r="62" spans="1:10" ht="12.75">
      <c r="A62" s="8"/>
      <c r="B62" s="342"/>
      <c r="C62" s="342"/>
      <c r="D62" s="342"/>
      <c r="E62" s="342"/>
      <c r="F62" s="342"/>
      <c r="G62" s="342"/>
      <c r="H62" s="342"/>
      <c r="I62" s="342"/>
      <c r="J62" s="342"/>
    </row>
    <row r="63" spans="1:10" ht="12.75">
      <c r="A63" s="342"/>
      <c r="B63" s="342"/>
      <c r="C63" s="342"/>
      <c r="D63" s="342"/>
      <c r="E63" s="342"/>
      <c r="F63" s="342"/>
      <c r="G63" s="342"/>
      <c r="H63" s="342"/>
      <c r="I63" s="342"/>
      <c r="J63" s="342"/>
    </row>
    <row r="64" spans="1:10" ht="12.75">
      <c r="A64" s="342"/>
      <c r="B64" s="342"/>
      <c r="C64" s="342"/>
      <c r="D64" s="342"/>
      <c r="E64" s="342"/>
      <c r="F64" s="342"/>
      <c r="G64" s="342"/>
      <c r="H64" s="342"/>
      <c r="I64" s="342"/>
      <c r="J64" s="342"/>
    </row>
    <row r="65" spans="1:10" ht="12.75">
      <c r="A65" s="342"/>
      <c r="B65" s="342"/>
      <c r="C65" s="342"/>
      <c r="D65" s="342"/>
      <c r="E65" s="342"/>
      <c r="F65" s="342"/>
      <c r="G65" s="342"/>
      <c r="H65" s="342"/>
      <c r="I65" s="342"/>
      <c r="J65" s="342"/>
    </row>
    <row r="66" spans="1:10" ht="12.75">
      <c r="A66" s="342"/>
      <c r="B66" s="342"/>
      <c r="C66" s="342"/>
      <c r="D66" s="342"/>
      <c r="E66" s="342"/>
      <c r="F66" s="342"/>
      <c r="G66" s="342"/>
      <c r="H66" s="342"/>
      <c r="I66" s="342"/>
      <c r="J66" s="342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.7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.7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.7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.7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.7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.7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.7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.7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2.7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.7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.7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.7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.7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.7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9:10" ht="12.75">
      <c r="I248" s="4"/>
      <c r="J248" s="4"/>
    </row>
    <row r="249" spans="9:10" ht="12.75">
      <c r="I249" s="4"/>
      <c r="J249" s="4"/>
    </row>
    <row r="250" spans="9:10" ht="12.75">
      <c r="I250" s="4"/>
      <c r="J250" s="4"/>
    </row>
    <row r="251" spans="9:10" ht="12.75">
      <c r="I251" s="4"/>
      <c r="J251" s="4"/>
    </row>
    <row r="252" spans="9:10" ht="12.75">
      <c r="I252" s="4"/>
      <c r="J252" s="4"/>
    </row>
    <row r="253" spans="9:10" ht="12.75">
      <c r="I253" s="4"/>
      <c r="J253" s="4"/>
    </row>
    <row r="254" spans="9:10" ht="12.75">
      <c r="I254" s="4"/>
      <c r="J254" s="4"/>
    </row>
    <row r="255" spans="9:10" ht="12.75">
      <c r="I255" s="4"/>
      <c r="J255" s="4"/>
    </row>
    <row r="256" spans="9:10" ht="12.75">
      <c r="I256" s="4"/>
      <c r="J256" s="4"/>
    </row>
    <row r="257" spans="9:10" ht="12.75">
      <c r="I257" s="4"/>
      <c r="J257" s="4"/>
    </row>
    <row r="258" spans="9:10" ht="12.75">
      <c r="I258" s="4"/>
      <c r="J258" s="4"/>
    </row>
    <row r="259" spans="9:10" ht="12.75">
      <c r="I259" s="4"/>
      <c r="J259" s="4"/>
    </row>
    <row r="260" spans="9:10" ht="12.75">
      <c r="I260" s="4"/>
      <c r="J260" s="4"/>
    </row>
    <row r="261" spans="9:10" ht="12.75">
      <c r="I261" s="4"/>
      <c r="J261" s="4"/>
    </row>
    <row r="262" spans="9:10" ht="12.75">
      <c r="I262" s="4"/>
      <c r="J262" s="4"/>
    </row>
    <row r="263" spans="9:10" ht="12.75">
      <c r="I263" s="4"/>
      <c r="J263" s="4"/>
    </row>
    <row r="264" spans="9:10" ht="12.75">
      <c r="I264" s="4"/>
      <c r="J264" s="4"/>
    </row>
    <row r="265" spans="9:10" ht="12.75">
      <c r="I265" s="4"/>
      <c r="J265" s="4"/>
    </row>
    <row r="266" spans="9:10" ht="12.75">
      <c r="I266" s="4"/>
      <c r="J266" s="4"/>
    </row>
    <row r="267" spans="9:10" ht="12.75">
      <c r="I267" s="4"/>
      <c r="J267" s="4"/>
    </row>
    <row r="268" spans="9:10" ht="12.75">
      <c r="I268" s="4"/>
      <c r="J268" s="4"/>
    </row>
    <row r="269" spans="9:10" ht="12.75">
      <c r="I269" s="4"/>
      <c r="J269" s="4"/>
    </row>
    <row r="270" spans="9:10" ht="12.75">
      <c r="I270" s="4"/>
      <c r="J270" s="4"/>
    </row>
    <row r="271" spans="9:10" ht="12.75">
      <c r="I271" s="4"/>
      <c r="J271" s="4"/>
    </row>
    <row r="272" spans="9:10" ht="12.75">
      <c r="I272" s="4"/>
      <c r="J272" s="4"/>
    </row>
    <row r="273" spans="9:10" ht="12.75">
      <c r="I273" s="4"/>
      <c r="J273" s="4"/>
    </row>
    <row r="274" spans="9:10" ht="12.75">
      <c r="I274" s="4"/>
      <c r="J274" s="4"/>
    </row>
    <row r="275" spans="9:10" ht="12.75">
      <c r="I275" s="4"/>
      <c r="J275" s="4"/>
    </row>
    <row r="276" spans="9:10" ht="12.75">
      <c r="I276" s="4"/>
      <c r="J276" s="4"/>
    </row>
    <row r="277" spans="9:10" ht="12.75">
      <c r="I277" s="4"/>
      <c r="J277" s="4"/>
    </row>
    <row r="278" spans="9:10" ht="12.75">
      <c r="I278" s="4"/>
      <c r="J278" s="4"/>
    </row>
    <row r="279" spans="9:10" ht="12.75">
      <c r="I279" s="4"/>
      <c r="J279" s="4"/>
    </row>
    <row r="280" spans="9:10" ht="12.75">
      <c r="I280" s="4"/>
      <c r="J280" s="4"/>
    </row>
    <row r="281" spans="9:10" ht="12.75">
      <c r="I281" s="4"/>
      <c r="J281" s="4"/>
    </row>
    <row r="282" spans="9:10" ht="12.75">
      <c r="I282" s="4"/>
      <c r="J282" s="4"/>
    </row>
    <row r="283" spans="9:10" ht="12.75">
      <c r="I283" s="4"/>
      <c r="J283" s="4"/>
    </row>
    <row r="284" spans="9:10" ht="12.75">
      <c r="I284" s="4"/>
      <c r="J284" s="4"/>
    </row>
    <row r="285" spans="9:10" ht="12.75">
      <c r="I285" s="4"/>
      <c r="J285" s="4"/>
    </row>
    <row r="286" spans="9:10" ht="12.75">
      <c r="I286" s="4"/>
      <c r="J286" s="4"/>
    </row>
  </sheetData>
  <sheetProtection sheet="1" objects="1" scenarios="1" formatCells="0" formatColumns="0" formatRows="0"/>
  <mergeCells count="1">
    <mergeCell ref="H3:I3"/>
  </mergeCells>
  <conditionalFormatting sqref="F24">
    <cfRule type="expression" priority="1" dxfId="0" stopIfTrue="1">
      <formula>ISERROR($F$24)</formula>
    </cfRule>
  </conditionalFormatting>
  <conditionalFormatting sqref="F18:F23">
    <cfRule type="expression" priority="2" dxfId="0" stopIfTrue="1">
      <formula>ISERROR($F$18)</formula>
    </cfRule>
  </conditionalFormatting>
  <conditionalFormatting sqref="E53">
    <cfRule type="expression" priority="3" dxfId="0" stopIfTrue="1">
      <formula>ISERROR($E$53)</formula>
    </cfRule>
  </conditionalFormatting>
  <conditionalFormatting sqref="B26">
    <cfRule type="expression" priority="4" dxfId="0" stopIfTrue="1">
      <formula>ISERROR($B$18:$B$23)</formula>
    </cfRule>
  </conditionalFormatting>
  <conditionalFormatting sqref="B24">
    <cfRule type="expression" priority="5" dxfId="0" stopIfTrue="1">
      <formula>ISERROR($B$24)</formula>
    </cfRule>
  </conditionalFormatting>
  <conditionalFormatting sqref="B28:B32">
    <cfRule type="expression" priority="6" dxfId="0" stopIfTrue="1">
      <formula>ISERROR($B$28)</formula>
    </cfRule>
  </conditionalFormatting>
  <conditionalFormatting sqref="D28:D32">
    <cfRule type="expression" priority="7" dxfId="0" stopIfTrue="1">
      <formula>ISERROR($D$28)</formula>
    </cfRule>
  </conditionalFormatting>
  <conditionalFormatting sqref="B33">
    <cfRule type="expression" priority="8" dxfId="0" stopIfTrue="1">
      <formula>ISERROR($B$33)</formula>
    </cfRule>
  </conditionalFormatting>
  <conditionalFormatting sqref="D33">
    <cfRule type="expression" priority="9" dxfId="0" stopIfTrue="1">
      <formula>ISERROR($D$33)</formula>
    </cfRule>
  </conditionalFormatting>
  <conditionalFormatting sqref="B18:B23">
    <cfRule type="expression" priority="10" dxfId="0" stopIfTrue="1">
      <formula>ISERROR($B$18:$F$24)</formula>
    </cfRule>
  </conditionalFormatting>
  <printOptions/>
  <pageMargins left="0.5511811023622047" right="0.31496062992125984" top="0.35433070866141736" bottom="0.7480314960629921" header="0.2362204724409449" footer="0.3937007874015748"/>
  <pageSetup fitToHeight="1" fitToWidth="1" horizontalDpi="300" verticalDpi="300" orientation="portrait" paperSize="9" scale="89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Q683"/>
  <sheetViews>
    <sheetView showGridLines="0" showZeros="0" zoomScalePageLayoutView="0" workbookViewId="0" topLeftCell="A13">
      <selection activeCell="E42" sqref="E42:E47"/>
    </sheetView>
  </sheetViews>
  <sheetFormatPr defaultColWidth="11.421875" defaultRowHeight="12.75"/>
  <cols>
    <col min="1" max="1" width="35.28125" style="0" customWidth="1"/>
    <col min="2" max="2" width="7.00390625" style="0" customWidth="1"/>
    <col min="3" max="3" width="8.140625" style="0" customWidth="1"/>
    <col min="4" max="4" width="7.57421875" style="0" customWidth="1"/>
    <col min="5" max="5" width="7.28125" style="0" customWidth="1"/>
    <col min="6" max="6" width="8.00390625" style="0" customWidth="1"/>
    <col min="7" max="7" width="6.7109375" style="0" customWidth="1"/>
    <col min="8" max="8" width="8.57421875" style="0" customWidth="1"/>
    <col min="9" max="9" width="7.140625" style="0" customWidth="1"/>
    <col min="10" max="10" width="2.57421875" style="0" customWidth="1"/>
    <col min="11" max="11" width="9.00390625" style="0" customWidth="1"/>
    <col min="12" max="12" width="7.7109375" style="0" customWidth="1"/>
    <col min="13" max="13" width="7.57421875" style="0" customWidth="1"/>
    <col min="14" max="14" width="12.7109375" style="0" bestFit="1" customWidth="1"/>
    <col min="15" max="15" width="15.28125" style="0" bestFit="1" customWidth="1"/>
    <col min="16" max="16" width="10.28125" style="0" bestFit="1" customWidth="1"/>
    <col min="17" max="17" width="10.7109375" style="0" bestFit="1" customWidth="1"/>
    <col min="18" max="18" width="9.00390625" style="0" bestFit="1" customWidth="1"/>
    <col min="19" max="19" width="9.8515625" style="0" bestFit="1" customWidth="1"/>
    <col min="20" max="20" width="8.28125" style="0" bestFit="1" customWidth="1"/>
  </cols>
  <sheetData>
    <row r="1" spans="2:10" s="1" customFormat="1" ht="4.5" customHeight="1">
      <c r="B1" s="321"/>
      <c r="C1" s="322"/>
      <c r="D1" s="321"/>
      <c r="E1" s="322"/>
      <c r="F1" s="321"/>
      <c r="G1" s="321"/>
      <c r="H1" s="321"/>
      <c r="I1" s="321"/>
      <c r="J1" s="2"/>
    </row>
    <row r="2" spans="1:10" s="1" customFormat="1" ht="12" customHeight="1">
      <c r="A2" s="76" t="s">
        <v>105</v>
      </c>
      <c r="B2" s="321"/>
      <c r="C2" s="322"/>
      <c r="D2" s="321"/>
      <c r="E2" s="322"/>
      <c r="F2" s="321"/>
      <c r="G2" s="321"/>
      <c r="H2" s="321"/>
      <c r="I2" s="321"/>
      <c r="J2" s="2"/>
    </row>
    <row r="3" spans="2:10" s="1" customFormat="1" ht="12.75">
      <c r="B3" s="309"/>
      <c r="C3" s="399"/>
      <c r="D3" s="989" t="s">
        <v>460</v>
      </c>
      <c r="E3" s="990"/>
      <c r="F3" s="989" t="s">
        <v>164</v>
      </c>
      <c r="G3" s="990"/>
      <c r="H3" s="987" t="s">
        <v>539</v>
      </c>
      <c r="I3" s="988"/>
      <c r="J3" s="2"/>
    </row>
    <row r="4" spans="1:25" s="1" customFormat="1" ht="16.5" customHeight="1">
      <c r="A4" s="605"/>
      <c r="B4" s="977" t="s">
        <v>107</v>
      </c>
      <c r="C4" s="981" t="s">
        <v>108</v>
      </c>
      <c r="D4" s="979" t="s">
        <v>341</v>
      </c>
      <c r="E4" s="977" t="s">
        <v>110</v>
      </c>
      <c r="F4" s="979" t="s">
        <v>342</v>
      </c>
      <c r="G4" s="977" t="s">
        <v>130</v>
      </c>
      <c r="H4" s="995" t="s">
        <v>129</v>
      </c>
      <c r="I4" s="993" t="s">
        <v>130</v>
      </c>
      <c r="J4" s="2"/>
      <c r="W4" s="34"/>
      <c r="X4" s="34"/>
      <c r="Y4" s="34"/>
    </row>
    <row r="5" spans="1:25" s="1" customFormat="1" ht="12.75">
      <c r="A5" s="606" t="s">
        <v>113</v>
      </c>
      <c r="B5" s="978"/>
      <c r="C5" s="982"/>
      <c r="D5" s="980"/>
      <c r="E5" s="978"/>
      <c r="F5" s="980"/>
      <c r="G5" s="978"/>
      <c r="H5" s="996"/>
      <c r="I5" s="994"/>
      <c r="J5" s="2"/>
      <c r="W5" s="34"/>
      <c r="X5" s="34"/>
      <c r="Y5" s="34"/>
    </row>
    <row r="6" spans="1:25" s="1" customFormat="1" ht="12.75">
      <c r="A6" s="389" t="s">
        <v>509</v>
      </c>
      <c r="B6" s="354" t="s">
        <v>83</v>
      </c>
      <c r="C6" s="548">
        <f>'Bétail et systèmes de garde'!$C$26</f>
        <v>0</v>
      </c>
      <c r="D6" s="799"/>
      <c r="E6" s="800">
        <f aca="true" t="shared" si="0" ref="E6:E32">$C6*$D6</f>
        <v>0</v>
      </c>
      <c r="F6" s="354">
        <v>24</v>
      </c>
      <c r="G6" s="538">
        <f aca="true" t="shared" si="1" ref="G6:G13">$C6*$F6</f>
        <v>0</v>
      </c>
      <c r="H6" s="406">
        <f>$F$6</f>
        <v>24</v>
      </c>
      <c r="I6" s="531">
        <f aca="true" t="shared" si="2" ref="I6:I13">$C6*$H6</f>
        <v>0</v>
      </c>
      <c r="J6" s="2"/>
      <c r="W6" s="34"/>
      <c r="X6" s="34"/>
      <c r="Y6" s="34"/>
    </row>
    <row r="7" spans="1:26" s="1" customFormat="1" ht="12.75">
      <c r="A7" s="389" t="s">
        <v>507</v>
      </c>
      <c r="B7" s="354" t="s">
        <v>83</v>
      </c>
      <c r="C7" s="548">
        <f>'Bétail et systèmes de garde'!$D$26</f>
        <v>0</v>
      </c>
      <c r="D7" s="431">
        <f>'Normes diverses'!$C$11</f>
        <v>8</v>
      </c>
      <c r="E7" s="427">
        <f t="shared" si="0"/>
        <v>0</v>
      </c>
      <c r="F7" s="354">
        <f>$F$6*0.5</f>
        <v>12</v>
      </c>
      <c r="G7" s="538">
        <f t="shared" si="1"/>
        <v>0</v>
      </c>
      <c r="H7" s="406">
        <f aca="true" t="shared" si="3" ref="H7:H13">$F$6</f>
        <v>24</v>
      </c>
      <c r="I7" s="531">
        <f t="shared" si="2"/>
        <v>0</v>
      </c>
      <c r="J7" s="2"/>
      <c r="W7" s="53"/>
      <c r="X7" s="55"/>
      <c r="Y7" s="55"/>
      <c r="Z7" s="55"/>
    </row>
    <row r="8" spans="1:26" s="1" customFormat="1" ht="12.75">
      <c r="A8" s="389" t="s">
        <v>508</v>
      </c>
      <c r="B8" s="354" t="s">
        <v>83</v>
      </c>
      <c r="C8" s="548">
        <f>'Bétail et systèmes de garde'!$E$26</f>
        <v>0</v>
      </c>
      <c r="D8" s="431">
        <f>'Normes diverses'!D11</f>
        <v>9</v>
      </c>
      <c r="E8" s="427">
        <f t="shared" si="0"/>
        <v>0</v>
      </c>
      <c r="F8" s="354">
        <f>$F$6*0.3</f>
        <v>7.199999999999999</v>
      </c>
      <c r="G8" s="538">
        <f t="shared" si="1"/>
        <v>0</v>
      </c>
      <c r="H8" s="406">
        <f t="shared" si="3"/>
        <v>24</v>
      </c>
      <c r="I8" s="531">
        <f t="shared" si="2"/>
        <v>0</v>
      </c>
      <c r="J8" s="2"/>
      <c r="W8" s="53"/>
      <c r="X8" s="55"/>
      <c r="Y8" s="55"/>
      <c r="Z8" s="55"/>
    </row>
    <row r="9" spans="1:26" s="1" customFormat="1" ht="12.75">
      <c r="A9" s="378" t="s">
        <v>509</v>
      </c>
      <c r="B9" s="354" t="s">
        <v>83</v>
      </c>
      <c r="C9" s="548">
        <f>'Bétail et systèmes de garde'!$F$26</f>
        <v>0</v>
      </c>
      <c r="D9" s="864"/>
      <c r="E9" s="800">
        <f t="shared" si="0"/>
        <v>0</v>
      </c>
      <c r="F9" s="354">
        <f>$F$6</f>
        <v>24</v>
      </c>
      <c r="G9" s="538">
        <f t="shared" si="1"/>
        <v>0</v>
      </c>
      <c r="H9" s="406">
        <f t="shared" si="3"/>
        <v>24</v>
      </c>
      <c r="I9" s="531">
        <f t="shared" si="2"/>
        <v>0</v>
      </c>
      <c r="J9" s="2"/>
      <c r="W9" s="56"/>
      <c r="X9" s="55"/>
      <c r="Y9" s="55"/>
      <c r="Z9" s="55"/>
    </row>
    <row r="10" spans="1:26" s="1" customFormat="1" ht="12.75">
      <c r="A10" s="378" t="s">
        <v>510</v>
      </c>
      <c r="B10" s="354" t="s">
        <v>83</v>
      </c>
      <c r="C10" s="548">
        <f>'Bétail et systèmes de garde'!$G$26</f>
        <v>0</v>
      </c>
      <c r="D10" s="431">
        <f>'Normes diverses'!$H$11</f>
        <v>4</v>
      </c>
      <c r="E10" s="427">
        <f t="shared" si="0"/>
        <v>0</v>
      </c>
      <c r="F10" s="391">
        <f>$F$6*0.75</f>
        <v>18</v>
      </c>
      <c r="G10" s="538">
        <f t="shared" si="1"/>
        <v>0</v>
      </c>
      <c r="H10" s="406">
        <f t="shared" si="3"/>
        <v>24</v>
      </c>
      <c r="I10" s="531">
        <f t="shared" si="2"/>
        <v>0</v>
      </c>
      <c r="J10" s="2"/>
      <c r="W10" s="57"/>
      <c r="X10" s="55"/>
      <c r="Y10" s="55"/>
      <c r="Z10" s="55"/>
    </row>
    <row r="11" spans="1:26" s="1" customFormat="1" ht="12.75">
      <c r="A11" s="378" t="s">
        <v>511</v>
      </c>
      <c r="B11" s="354" t="s">
        <v>83</v>
      </c>
      <c r="C11" s="548">
        <f>'Bétail et systèmes de garde'!$H$26</f>
        <v>0</v>
      </c>
      <c r="D11" s="431">
        <f>'Normes diverses'!$G$11</f>
        <v>9</v>
      </c>
      <c r="E11" s="427">
        <f t="shared" si="0"/>
        <v>0</v>
      </c>
      <c r="F11" s="354">
        <f>$F$6*0.5</f>
        <v>12</v>
      </c>
      <c r="G11" s="538">
        <f t="shared" si="1"/>
        <v>0</v>
      </c>
      <c r="H11" s="406">
        <f t="shared" si="3"/>
        <v>24</v>
      </c>
      <c r="I11" s="531">
        <f t="shared" si="2"/>
        <v>0</v>
      </c>
      <c r="J11" s="2"/>
      <c r="W11" s="21"/>
      <c r="X11" s="55"/>
      <c r="Y11" s="55"/>
      <c r="Z11" s="55"/>
    </row>
    <row r="12" spans="1:28" s="1" customFormat="1" ht="12.75">
      <c r="A12" s="378" t="s">
        <v>508</v>
      </c>
      <c r="B12" s="354" t="s">
        <v>83</v>
      </c>
      <c r="C12" s="548">
        <f>'Bétail et systèmes de garde'!$I$26</f>
        <v>0</v>
      </c>
      <c r="D12" s="431">
        <f>'Normes diverses'!$F$11</f>
        <v>13</v>
      </c>
      <c r="E12" s="427">
        <f t="shared" si="0"/>
        <v>0</v>
      </c>
      <c r="F12" s="354">
        <f>$F$6*0.25</f>
        <v>6</v>
      </c>
      <c r="G12" s="538">
        <f t="shared" si="1"/>
        <v>0</v>
      </c>
      <c r="H12" s="406">
        <f t="shared" si="3"/>
        <v>24</v>
      </c>
      <c r="I12" s="532">
        <f t="shared" si="2"/>
        <v>0</v>
      </c>
      <c r="J12" s="2"/>
      <c r="W12" s="55"/>
      <c r="X12" s="53"/>
      <c r="Y12" s="53"/>
      <c r="Z12" s="56"/>
      <c r="AA12" s="38"/>
      <c r="AB12" s="2"/>
    </row>
    <row r="13" spans="1:28" s="1" customFormat="1" ht="12.75">
      <c r="A13" s="375" t="s">
        <v>513</v>
      </c>
      <c r="B13" s="354" t="s">
        <v>83</v>
      </c>
      <c r="C13" s="548">
        <f>'Bétail et systèmes de garde'!$J$26</f>
        <v>0</v>
      </c>
      <c r="D13" s="856">
        <f>'Normes diverses'!E11</f>
        <v>18</v>
      </c>
      <c r="E13" s="427">
        <f t="shared" si="0"/>
        <v>0</v>
      </c>
      <c r="F13" s="801"/>
      <c r="G13" s="802">
        <f t="shared" si="1"/>
        <v>0</v>
      </c>
      <c r="H13" s="406">
        <f t="shared" si="3"/>
        <v>24</v>
      </c>
      <c r="I13" s="531">
        <f t="shared" si="2"/>
        <v>0</v>
      </c>
      <c r="J13" s="2"/>
      <c r="W13" s="55"/>
      <c r="X13" s="53"/>
      <c r="Y13" s="53"/>
      <c r="Z13" s="56"/>
      <c r="AA13" s="38"/>
      <c r="AB13" s="2"/>
    </row>
    <row r="14" spans="1:28" s="1" customFormat="1" ht="12.75">
      <c r="A14" s="348" t="s">
        <v>184</v>
      </c>
      <c r="B14" s="324"/>
      <c r="C14" s="309"/>
      <c r="D14" s="312"/>
      <c r="E14" s="428">
        <f t="shared" si="0"/>
        <v>0</v>
      </c>
      <c r="F14" s="324"/>
      <c r="G14" s="540"/>
      <c r="H14" s="309"/>
      <c r="I14" s="533"/>
      <c r="J14" s="2"/>
      <c r="W14" s="55"/>
      <c r="X14" s="54"/>
      <c r="Y14" s="53"/>
      <c r="Z14" s="56"/>
      <c r="AA14" s="38"/>
      <c r="AB14" s="2"/>
    </row>
    <row r="15" spans="1:28" s="1" customFormat="1" ht="12.75">
      <c r="A15" s="373" t="s">
        <v>119</v>
      </c>
      <c r="B15" s="979" t="s">
        <v>514</v>
      </c>
      <c r="C15" s="856">
        <f>'Bétail et systèmes de garde'!C40</f>
        <v>0</v>
      </c>
      <c r="D15" s="803"/>
      <c r="E15" s="800"/>
      <c r="F15" s="353">
        <f>'Normes diverses'!C17</f>
        <v>1.6</v>
      </c>
      <c r="G15" s="851">
        <f>F15*C15</f>
        <v>0</v>
      </c>
      <c r="H15" s="406">
        <v>1.6</v>
      </c>
      <c r="I15" s="534">
        <f>$C15*$H15</f>
        <v>0</v>
      </c>
      <c r="J15" s="2"/>
      <c r="K15" s="447"/>
      <c r="W15" s="55"/>
      <c r="X15" s="54"/>
      <c r="Y15" s="57"/>
      <c r="Z15" s="56"/>
      <c r="AA15" s="38"/>
      <c r="AB15" s="2"/>
    </row>
    <row r="16" spans="1:28" s="1" customFormat="1" ht="12.75">
      <c r="A16" s="450" t="s">
        <v>275</v>
      </c>
      <c r="B16" s="997"/>
      <c r="C16" s="356">
        <f>'Bétail et systèmes de garde'!D40</f>
        <v>0</v>
      </c>
      <c r="D16" s="460">
        <f>'Normes diverses'!E18</f>
        <v>0.16666666666666666</v>
      </c>
      <c r="E16" s="427">
        <f>D16*C16</f>
        <v>0</v>
      </c>
      <c r="F16" s="353">
        <f>'Normes diverses'!D17</f>
        <v>1.36</v>
      </c>
      <c r="G16" s="538">
        <f>F16*C16</f>
        <v>0</v>
      </c>
      <c r="H16" s="406">
        <v>1.6</v>
      </c>
      <c r="I16" s="534">
        <f>$C16*$H16</f>
        <v>0</v>
      </c>
      <c r="J16" s="2"/>
      <c r="K16" s="447"/>
      <c r="W16" s="55"/>
      <c r="X16" s="54"/>
      <c r="Y16" s="57"/>
      <c r="Z16" s="56"/>
      <c r="AA16" s="38"/>
      <c r="AB16" s="2"/>
    </row>
    <row r="17" spans="1:28" s="1" customFormat="1" ht="12.75">
      <c r="A17" s="374" t="s">
        <v>486</v>
      </c>
      <c r="B17" s="997"/>
      <c r="C17" s="856">
        <f>'Bétail et systèmes de garde'!E40</f>
        <v>0</v>
      </c>
      <c r="D17" s="353">
        <f>'Normes diverses'!G18</f>
        <v>0.5833333333333334</v>
      </c>
      <c r="E17" s="431">
        <f>D17*C17</f>
        <v>0</v>
      </c>
      <c r="F17" s="353">
        <f>'Normes diverses'!F17</f>
        <v>0.8</v>
      </c>
      <c r="G17" s="538">
        <f>F17*C17</f>
        <v>0</v>
      </c>
      <c r="H17" s="406">
        <v>1.6</v>
      </c>
      <c r="I17" s="535">
        <f>$C17*$H17</f>
        <v>0</v>
      </c>
      <c r="J17" s="2"/>
      <c r="W17" s="21"/>
      <c r="X17" s="54"/>
      <c r="Y17" s="22"/>
      <c r="Z17" s="22"/>
      <c r="AA17" s="6"/>
      <c r="AB17" s="2"/>
    </row>
    <row r="18" spans="1:28" s="1" customFormat="1" ht="12.75">
      <c r="A18" s="390" t="s">
        <v>120</v>
      </c>
      <c r="B18" s="978"/>
      <c r="C18" s="356">
        <f>'Bétail et systèmes de garde'!F40</f>
        <v>0</v>
      </c>
      <c r="D18" s="815">
        <f>'Normes diverses'!I18</f>
        <v>0.9999999999999999</v>
      </c>
      <c r="E18" s="427">
        <f>D18*C18</f>
        <v>0</v>
      </c>
      <c r="F18" s="804">
        <v>0</v>
      </c>
      <c r="G18" s="802"/>
      <c r="H18" s="406">
        <v>1.6</v>
      </c>
      <c r="I18" s="534">
        <f>$C18*$H18</f>
        <v>0</v>
      </c>
      <c r="J18" s="2"/>
      <c r="W18" s="21"/>
      <c r="X18" s="53"/>
      <c r="Y18" s="53"/>
      <c r="Z18" s="56"/>
      <c r="AA18" s="38"/>
      <c r="AB18" s="2"/>
    </row>
    <row r="19" spans="1:28" s="1" customFormat="1" ht="0.75" customHeight="1">
      <c r="A19" s="348"/>
      <c r="B19" s="324"/>
      <c r="C19" s="309"/>
      <c r="D19" s="312"/>
      <c r="E19" s="428"/>
      <c r="F19" s="805"/>
      <c r="G19" s="806"/>
      <c r="H19" s="309"/>
      <c r="I19" s="533"/>
      <c r="J19" s="2"/>
      <c r="W19" s="21"/>
      <c r="X19" s="53"/>
      <c r="Y19" s="53"/>
      <c r="Z19" s="56"/>
      <c r="AA19" s="38"/>
      <c r="AB19" s="2"/>
    </row>
    <row r="20" spans="1:28" s="1" customFormat="1" ht="12.75">
      <c r="A20" s="348" t="s">
        <v>196</v>
      </c>
      <c r="B20" s="324"/>
      <c r="C20" s="309"/>
      <c r="D20" s="312"/>
      <c r="E20" s="428">
        <f t="shared" si="0"/>
        <v>0</v>
      </c>
      <c r="F20" s="324"/>
      <c r="G20" s="540"/>
      <c r="H20" s="309"/>
      <c r="I20" s="533"/>
      <c r="J20" s="2"/>
      <c r="W20" s="22"/>
      <c r="X20" s="22"/>
      <c r="Y20" s="22"/>
      <c r="Z20" s="21"/>
      <c r="AA20" s="2"/>
      <c r="AB20" s="2"/>
    </row>
    <row r="21" spans="1:28" s="1" customFormat="1" ht="12.75">
      <c r="A21" s="382" t="s">
        <v>493</v>
      </c>
      <c r="B21" s="372" t="s">
        <v>83</v>
      </c>
      <c r="C21" s="354">
        <f>('Bétail et systèmes de garde'!C57+'Bétail et systèmes de garde'!D57)*'Bétail et systèmes de garde'!B57+('Bétail et systèmes de garde'!C58+'Bétail et systèmes de garde'!D58)*'Bétail et systèmes de garde'!B58+('Bétail et systèmes de garde'!C59+'Bétail et systèmes de garde'!D59)*'Bétail et systèmes de garde'!B59+('Bétail et systèmes de garde'!C60+'Bétail et systèmes de garde'!D60)*'Bétail et systèmes de garde'!B60+('Bétail et systèmes de garde'!C61+'Bétail et systèmes de garde'!D61)*'Bétail et systèmes de garde'!B61</f>
        <v>0</v>
      </c>
      <c r="D21" s="316">
        <f>'Normes diverses'!$E$30</f>
        <v>10</v>
      </c>
      <c r="E21" s="427">
        <f t="shared" si="0"/>
        <v>0</v>
      </c>
      <c r="F21" s="798">
        <v>0</v>
      </c>
      <c r="G21" s="574">
        <f>$C21*$F21</f>
        <v>0</v>
      </c>
      <c r="H21" s="327"/>
      <c r="I21" s="574"/>
      <c r="J21" s="2"/>
      <c r="K21" s="447"/>
      <c r="W21" s="22"/>
      <c r="X21" s="22"/>
      <c r="Y21" s="22"/>
      <c r="Z21" s="21"/>
      <c r="AA21" s="2"/>
      <c r="AB21" s="2"/>
    </row>
    <row r="22" spans="1:28" s="1" customFormat="1" ht="12.75">
      <c r="A22" s="348" t="s">
        <v>489</v>
      </c>
      <c r="B22" s="324"/>
      <c r="C22" s="309"/>
      <c r="D22" s="312"/>
      <c r="E22" s="428">
        <f t="shared" si="0"/>
        <v>0</v>
      </c>
      <c r="F22" s="324"/>
      <c r="G22" s="540"/>
      <c r="H22" s="309"/>
      <c r="I22" s="533"/>
      <c r="J22" s="2"/>
      <c r="W22" s="22"/>
      <c r="X22" s="22"/>
      <c r="Y22" s="22"/>
      <c r="Z22" s="21"/>
      <c r="AA22" s="2"/>
      <c r="AB22" s="2"/>
    </row>
    <row r="23" spans="1:28" s="1" customFormat="1" ht="12.75">
      <c r="A23" s="376" t="s">
        <v>490</v>
      </c>
      <c r="B23" s="372" t="s">
        <v>83</v>
      </c>
      <c r="C23" s="354">
        <f>'Bétail et systèmes de garde'!C62*'Bétail et systèmes de garde'!B62</f>
        <v>0</v>
      </c>
      <c r="D23" s="554">
        <f>'Normes diverses'!F37</f>
        <v>7.666666666666665</v>
      </c>
      <c r="E23" s="427">
        <f t="shared" si="0"/>
        <v>0</v>
      </c>
      <c r="F23" s="798">
        <v>0</v>
      </c>
      <c r="G23" s="574">
        <f>$C23*$F23</f>
        <v>0</v>
      </c>
      <c r="H23" s="327"/>
      <c r="I23" s="574"/>
      <c r="J23" s="2"/>
      <c r="K23" s="447"/>
      <c r="W23" s="22"/>
      <c r="X23" s="22"/>
      <c r="Y23" s="22"/>
      <c r="Z23" s="21"/>
      <c r="AA23" s="2"/>
      <c r="AB23" s="2"/>
    </row>
    <row r="24" spans="1:28" s="1" customFormat="1" ht="12.75">
      <c r="A24" s="378" t="s">
        <v>491</v>
      </c>
      <c r="B24" s="372" t="s">
        <v>83</v>
      </c>
      <c r="C24" s="354">
        <f>'Bétail et systèmes de garde'!C63*'Bétail et systèmes de garde'!B63</f>
        <v>0</v>
      </c>
      <c r="D24" s="554">
        <f>'Normes diverses'!F38</f>
        <v>8.333333333333334</v>
      </c>
      <c r="E24" s="427">
        <f t="shared" si="0"/>
        <v>0</v>
      </c>
      <c r="F24" s="798"/>
      <c r="G24" s="574"/>
      <c r="H24" s="327"/>
      <c r="I24" s="574"/>
      <c r="J24" s="2"/>
      <c r="K24" s="447"/>
      <c r="W24" s="22"/>
      <c r="X24" s="22"/>
      <c r="Y24" s="22"/>
      <c r="Z24" s="21"/>
      <c r="AA24" s="2"/>
      <c r="AB24" s="2"/>
    </row>
    <row r="25" spans="1:28" s="1" customFormat="1" ht="12.75">
      <c r="A25" s="375" t="s">
        <v>492</v>
      </c>
      <c r="B25" s="372" t="s">
        <v>83</v>
      </c>
      <c r="C25" s="391">
        <f>'Bétail et systèmes de garde'!C64*'Bétail et systèmes de garde'!B64</f>
        <v>0</v>
      </c>
      <c r="D25" s="554">
        <f>'Normes diverses'!F39</f>
        <v>6.666666666666666</v>
      </c>
      <c r="E25" s="427">
        <f t="shared" si="0"/>
        <v>0</v>
      </c>
      <c r="F25" s="798"/>
      <c r="G25" s="574">
        <f>$C25*$F25</f>
        <v>0</v>
      </c>
      <c r="H25" s="327"/>
      <c r="I25" s="574"/>
      <c r="J25" s="2"/>
      <c r="W25" s="22"/>
      <c r="X25" s="22"/>
      <c r="Y25" s="22"/>
      <c r="Z25" s="21"/>
      <c r="AA25" s="2"/>
      <c r="AB25" s="2"/>
    </row>
    <row r="26" spans="1:28" s="1" customFormat="1" ht="12.75">
      <c r="A26" s="348" t="s">
        <v>124</v>
      </c>
      <c r="B26" s="324"/>
      <c r="C26" s="309"/>
      <c r="D26" s="312"/>
      <c r="E26" s="428">
        <f>$C26*$D26</f>
        <v>0</v>
      </c>
      <c r="J26" s="2"/>
      <c r="W26" s="26"/>
      <c r="X26" s="26"/>
      <c r="Y26" s="26"/>
      <c r="Z26" s="26"/>
      <c r="AA26" s="24"/>
      <c r="AB26" s="24"/>
    </row>
    <row r="27" spans="1:28" s="1" customFormat="1" ht="12.75">
      <c r="A27" s="376" t="s">
        <v>125</v>
      </c>
      <c r="B27" s="372" t="s">
        <v>126</v>
      </c>
      <c r="C27" s="548">
        <f>'Bétail et systèmes de garde'!$C$53/100</f>
        <v>0</v>
      </c>
      <c r="D27" s="391">
        <f>'Normes diverses'!D24</f>
        <v>3.3333333333333335</v>
      </c>
      <c r="E27" s="427">
        <f>C27*D27</f>
        <v>0</v>
      </c>
      <c r="G27" s="572">
        <f>((SUM($E$9:$E$12))+$E$17+$E$18+$E$21)/3</f>
        <v>0</v>
      </c>
      <c r="H27" s="572"/>
      <c r="I27" s="572">
        <f>SUM($E$9:$E$12)/3</f>
        <v>0</v>
      </c>
      <c r="J27" s="2"/>
      <c r="N27" s="324"/>
      <c r="W27" s="26"/>
      <c r="X27" s="58"/>
      <c r="Y27" s="26"/>
      <c r="Z27" s="59"/>
      <c r="AA27" s="24"/>
      <c r="AB27" s="24"/>
    </row>
    <row r="28" spans="1:28" s="1" customFormat="1" ht="12.75">
      <c r="A28" s="377" t="s">
        <v>127</v>
      </c>
      <c r="B28" s="372" t="s">
        <v>126</v>
      </c>
      <c r="C28" s="548">
        <f>'Bétail et systèmes de garde'!$D$53/100</f>
        <v>0</v>
      </c>
      <c r="D28" s="391">
        <f>'Normes diverses'!E24</f>
        <v>1.6666666666666667</v>
      </c>
      <c r="E28" s="427">
        <f>C28*D28</f>
        <v>0</v>
      </c>
      <c r="F28" s="312"/>
      <c r="G28" s="439"/>
      <c r="H28" s="439"/>
      <c r="I28" s="439"/>
      <c r="J28" s="2"/>
      <c r="W28" s="26"/>
      <c r="X28" s="58"/>
      <c r="Y28" s="26"/>
      <c r="Z28" s="59"/>
      <c r="AA28" s="24"/>
      <c r="AB28" s="24"/>
    </row>
    <row r="29" spans="1:28" s="1" customFormat="1" ht="12.75">
      <c r="A29" s="375" t="s">
        <v>128</v>
      </c>
      <c r="B29" s="372" t="s">
        <v>126</v>
      </c>
      <c r="C29" s="548">
        <f>'Bétail et systèmes de garde'!$E$53/100</f>
        <v>0</v>
      </c>
      <c r="D29" s="391">
        <f>'Normes diverses'!F24</f>
        <v>1.6666666666666667</v>
      </c>
      <c r="E29" s="427">
        <f>C29*D29</f>
        <v>0</v>
      </c>
      <c r="F29" s="325"/>
      <c r="G29" s="439"/>
      <c r="H29" s="571"/>
      <c r="I29" s="439"/>
      <c r="J29" s="2"/>
      <c r="W29" s="26"/>
      <c r="X29" s="58"/>
      <c r="Y29" s="26"/>
      <c r="Z29" s="59"/>
      <c r="AA29" s="24"/>
      <c r="AB29" s="24"/>
    </row>
    <row r="30" spans="1:26" s="2" customFormat="1" ht="12.75">
      <c r="A30" s="327"/>
      <c r="B30" s="360"/>
      <c r="C30" s="323"/>
      <c r="D30" s="309"/>
      <c r="E30" s="428"/>
      <c r="F30" s="325"/>
      <c r="G30" s="574"/>
      <c r="H30" s="325"/>
      <c r="I30" s="574"/>
      <c r="W30" s="22"/>
      <c r="X30" s="22"/>
      <c r="Y30" s="22"/>
      <c r="Z30" s="21"/>
    </row>
    <row r="31" spans="1:28" s="1" customFormat="1" ht="15" customHeight="1">
      <c r="A31" s="991" t="s">
        <v>123</v>
      </c>
      <c r="B31" s="992"/>
      <c r="C31" s="322"/>
      <c r="D31" s="322"/>
      <c r="E31" s="428">
        <f t="shared" si="0"/>
        <v>0</v>
      </c>
      <c r="F31" s="312"/>
      <c r="G31" s="597">
        <f>G6+G7+G8+G9+G10+G11+G12+G13+G15+G16+G17+G18+G21</f>
        <v>0</v>
      </c>
      <c r="H31" s="73"/>
      <c r="I31" s="807">
        <f>I6+I7+I8+I9+I10+I11+I12+I13+I15+I16+I17+I18+I21</f>
        <v>0</v>
      </c>
      <c r="J31" s="2"/>
      <c r="W31" s="22"/>
      <c r="X31" s="22"/>
      <c r="Y31" s="22"/>
      <c r="Z31" s="21"/>
      <c r="AA31" s="2"/>
      <c r="AB31" s="2"/>
    </row>
    <row r="32" spans="5:28" s="1" customFormat="1" ht="9" customHeight="1">
      <c r="E32" s="428">
        <f t="shared" si="0"/>
        <v>0</v>
      </c>
      <c r="J32" s="2"/>
      <c r="W32" s="26"/>
      <c r="X32" s="26"/>
      <c r="Y32" s="26"/>
      <c r="Z32" s="26"/>
      <c r="AA32" s="24"/>
      <c r="AB32" s="24"/>
    </row>
    <row r="33" spans="4:28" s="1" customFormat="1" ht="9.75" customHeight="1">
      <c r="D33" s="2"/>
      <c r="E33" s="325"/>
      <c r="F33" s="325"/>
      <c r="G33" s="325"/>
      <c r="H33" s="325"/>
      <c r="I33" s="325"/>
      <c r="J33" s="2"/>
      <c r="W33" s="26"/>
      <c r="X33" s="58"/>
      <c r="Y33" s="26"/>
      <c r="Z33" s="59"/>
      <c r="AA33" s="24"/>
      <c r="AB33" s="24"/>
    </row>
    <row r="34" spans="1:28" s="1" customFormat="1" ht="18" customHeight="1">
      <c r="A34" s="857" t="s">
        <v>542</v>
      </c>
      <c r="B34" s="861"/>
      <c r="C34" s="862"/>
      <c r="D34" s="316" t="s">
        <v>107</v>
      </c>
      <c r="E34" s="332" t="s">
        <v>108</v>
      </c>
      <c r="F34" s="317" t="s">
        <v>129</v>
      </c>
      <c r="G34" s="354" t="s">
        <v>130</v>
      </c>
      <c r="H34" s="60"/>
      <c r="I34" s="308"/>
      <c r="J34" s="21"/>
      <c r="W34" s="25"/>
      <c r="X34" s="25"/>
      <c r="Y34" s="25"/>
      <c r="Z34" s="28"/>
      <c r="AA34" s="24"/>
      <c r="AB34" s="24"/>
    </row>
    <row r="35" spans="1:28" s="1" customFormat="1" ht="12.75">
      <c r="A35" s="984" t="s">
        <v>518</v>
      </c>
      <c r="B35" s="984"/>
      <c r="C35" s="984"/>
      <c r="D35" s="354" t="s">
        <v>83</v>
      </c>
      <c r="E35" s="550">
        <f>$C$6+$C$7+$C$8+$C$9+$C$10+$C$11+$C$12+$C$13</f>
        <v>0</v>
      </c>
      <c r="F35" s="391">
        <f>0.2*12</f>
        <v>2.4000000000000004</v>
      </c>
      <c r="G35" s="431">
        <f>$E35*$F35</f>
        <v>0</v>
      </c>
      <c r="H35" s="321"/>
      <c r="I35" s="321"/>
      <c r="J35" s="21"/>
      <c r="W35" s="25"/>
      <c r="X35" s="25"/>
      <c r="Y35" s="25"/>
      <c r="Z35" s="28"/>
      <c r="AA35" s="24"/>
      <c r="AB35" s="24"/>
    </row>
    <row r="36" spans="1:28" s="1" customFormat="1" ht="12.75">
      <c r="A36" s="984" t="s">
        <v>519</v>
      </c>
      <c r="B36" s="984"/>
      <c r="C36" s="984"/>
      <c r="D36" s="354" t="s">
        <v>83</v>
      </c>
      <c r="E36" s="550">
        <f>$C$6</f>
        <v>0</v>
      </c>
      <c r="F36" s="391">
        <f>0.5*12</f>
        <v>6</v>
      </c>
      <c r="G36" s="431">
        <f>$E36*$F36</f>
        <v>0</v>
      </c>
      <c r="H36" s="321"/>
      <c r="I36" s="321"/>
      <c r="J36" s="21"/>
      <c r="W36" s="25"/>
      <c r="X36" s="25"/>
      <c r="Y36" s="25"/>
      <c r="Z36" s="28"/>
      <c r="AA36" s="24"/>
      <c r="AB36" s="24"/>
    </row>
    <row r="37" spans="1:28" s="1" customFormat="1" ht="12.75">
      <c r="A37" s="984" t="s">
        <v>520</v>
      </c>
      <c r="B37" s="984"/>
      <c r="C37" s="984"/>
      <c r="D37" s="354" t="s">
        <v>86</v>
      </c>
      <c r="E37" s="550">
        <f>'Effectifs bétail'!$D$24</f>
        <v>0</v>
      </c>
      <c r="F37" s="391">
        <v>0.5</v>
      </c>
      <c r="G37" s="431">
        <f>$E37*$F37</f>
        <v>0</v>
      </c>
      <c r="H37" s="321"/>
      <c r="I37" s="321"/>
      <c r="J37" s="2"/>
      <c r="W37" s="25"/>
      <c r="X37" s="25"/>
      <c r="Y37" s="25"/>
      <c r="Z37" s="28"/>
      <c r="AA37" s="24"/>
      <c r="AB37" s="24"/>
    </row>
    <row r="38" spans="1:28" s="1" customFormat="1" ht="12.75" customHeight="1">
      <c r="A38" s="984" t="s">
        <v>521</v>
      </c>
      <c r="B38" s="984"/>
      <c r="C38" s="984"/>
      <c r="D38" s="354" t="s">
        <v>126</v>
      </c>
      <c r="E38" s="550">
        <f>('Bétail et systèmes de garde'!G$48*'Bétail et systèmes de garde'!$B$48)/100</f>
        <v>0</v>
      </c>
      <c r="F38" s="391">
        <f>0.5</f>
        <v>0.5</v>
      </c>
      <c r="G38" s="431">
        <f>($E38*$F38)</f>
        <v>0</v>
      </c>
      <c r="H38" s="321"/>
      <c r="I38" s="321"/>
      <c r="J38" s="2"/>
      <c r="W38" s="25"/>
      <c r="X38" s="25"/>
      <c r="Y38" s="25"/>
      <c r="Z38" s="28"/>
      <c r="AA38" s="24"/>
      <c r="AB38" s="24"/>
    </row>
    <row r="39" spans="1:28" s="1" customFormat="1" ht="12.75" customHeight="1">
      <c r="A39" s="984" t="s">
        <v>522</v>
      </c>
      <c r="B39" s="984"/>
      <c r="C39" s="984"/>
      <c r="D39" s="354" t="s">
        <v>126</v>
      </c>
      <c r="E39" s="550">
        <f>(('Bétail et systèmes de garde'!B49*'Bétail et systèmes de garde'!G49)+('Bétail et systèmes de garde'!B50*'Bétail et systèmes de garde'!G50)+('Bétail et systèmes de garde'!B51*'Bétail et systèmes de garde'!G51)+('Bétail et systèmes de garde'!B52*'Bétail et systèmes de garde'!G52))/100</f>
        <v>0</v>
      </c>
      <c r="F39" s="391">
        <f>0.8</f>
        <v>0.8</v>
      </c>
      <c r="G39" s="431">
        <f>($E39*$F39)</f>
        <v>0</v>
      </c>
      <c r="H39" s="321"/>
      <c r="I39" s="321"/>
      <c r="J39" s="2"/>
      <c r="W39" s="25"/>
      <c r="X39" s="25"/>
      <c r="Y39" s="25"/>
      <c r="Z39" s="28"/>
      <c r="AA39" s="24"/>
      <c r="AB39" s="24"/>
    </row>
    <row r="40" spans="1:28" s="1" customFormat="1" ht="12.75" customHeight="1">
      <c r="A40" s="984" t="s">
        <v>523</v>
      </c>
      <c r="B40" s="984"/>
      <c r="C40" s="984"/>
      <c r="D40" s="354" t="s">
        <v>110</v>
      </c>
      <c r="E40" s="427">
        <f>(IF(G59&gt;=Bâtiments!D45,G59,Bâtiments!D45))+'Données générales'!O54</f>
        <v>0</v>
      </c>
      <c r="F40" s="391">
        <f>1</f>
        <v>1</v>
      </c>
      <c r="G40" s="431">
        <f aca="true" t="shared" si="4" ref="G40:G47">$E40*$F40</f>
        <v>0</v>
      </c>
      <c r="H40" s="321"/>
      <c r="I40" s="321"/>
      <c r="J40" s="2"/>
      <c r="W40" s="25"/>
      <c r="X40" s="25"/>
      <c r="Y40" s="25"/>
      <c r="Z40" s="28"/>
      <c r="AA40" s="24"/>
      <c r="AB40" s="24"/>
    </row>
    <row r="41" spans="1:28" s="1" customFormat="1" ht="12.75" customHeight="1">
      <c r="A41" s="984" t="s">
        <v>524</v>
      </c>
      <c r="B41" s="984"/>
      <c r="C41" s="984"/>
      <c r="D41" s="354" t="s">
        <v>110</v>
      </c>
      <c r="E41" s="427">
        <f>'Données générales'!$H$55+'Données générales'!$M$55</f>
        <v>0</v>
      </c>
      <c r="F41" s="391">
        <f>1</f>
        <v>1</v>
      </c>
      <c r="G41" s="431">
        <f t="shared" si="4"/>
        <v>0</v>
      </c>
      <c r="H41" s="321"/>
      <c r="I41" s="321"/>
      <c r="J41" s="2"/>
      <c r="W41" s="25"/>
      <c r="X41" s="25"/>
      <c r="Y41" s="25"/>
      <c r="Z41" s="28"/>
      <c r="AA41" s="24"/>
      <c r="AB41" s="24"/>
    </row>
    <row r="42" spans="1:28" s="1" customFormat="1" ht="12.75" customHeight="1">
      <c r="A42" s="998" t="s">
        <v>525</v>
      </c>
      <c r="B42" s="998"/>
      <c r="C42" s="998"/>
      <c r="D42" s="354" t="s">
        <v>110</v>
      </c>
      <c r="E42" s="899"/>
      <c r="F42" s="391">
        <f>1</f>
        <v>1</v>
      </c>
      <c r="G42" s="431">
        <f t="shared" si="4"/>
        <v>0</v>
      </c>
      <c r="H42" s="321"/>
      <c r="I42" s="321"/>
      <c r="J42" s="2"/>
      <c r="W42" s="25"/>
      <c r="X42" s="25"/>
      <c r="Y42" s="25"/>
      <c r="Z42" s="28"/>
      <c r="AA42" s="24"/>
      <c r="AB42" s="24"/>
    </row>
    <row r="43" spans="1:28" s="1" customFormat="1" ht="12.75" customHeight="1">
      <c r="A43" s="984" t="s">
        <v>528</v>
      </c>
      <c r="B43" s="984"/>
      <c r="C43" s="984"/>
      <c r="D43" s="354" t="s">
        <v>107</v>
      </c>
      <c r="E43" s="899"/>
      <c r="F43" s="391">
        <f>12</f>
        <v>12</v>
      </c>
      <c r="G43" s="431">
        <f t="shared" si="4"/>
        <v>0</v>
      </c>
      <c r="H43" s="329"/>
      <c r="I43" s="330"/>
      <c r="W43" s="25"/>
      <c r="X43" s="25"/>
      <c r="Y43" s="25"/>
      <c r="Z43" s="28"/>
      <c r="AA43" s="24"/>
      <c r="AB43" s="24"/>
    </row>
    <row r="44" spans="1:28" s="1" customFormat="1" ht="12.75" customHeight="1">
      <c r="A44" s="984" t="s">
        <v>515</v>
      </c>
      <c r="B44" s="984"/>
      <c r="C44" s="984"/>
      <c r="D44" s="354" t="s">
        <v>107</v>
      </c>
      <c r="E44" s="899"/>
      <c r="F44" s="391">
        <v>50</v>
      </c>
      <c r="G44" s="431">
        <f t="shared" si="4"/>
        <v>0</v>
      </c>
      <c r="H44" s="329"/>
      <c r="I44" s="330"/>
      <c r="W44" s="25"/>
      <c r="X44" s="25"/>
      <c r="Y44" s="25"/>
      <c r="Z44" s="24"/>
      <c r="AA44" s="24"/>
      <c r="AB44" s="24"/>
    </row>
    <row r="45" spans="1:28" s="1" customFormat="1" ht="12.75" customHeight="1">
      <c r="A45" s="984" t="s">
        <v>516</v>
      </c>
      <c r="B45" s="984"/>
      <c r="C45" s="984"/>
      <c r="D45" s="354" t="s">
        <v>107</v>
      </c>
      <c r="E45" s="899"/>
      <c r="F45" s="391">
        <v>70</v>
      </c>
      <c r="G45" s="431">
        <f t="shared" si="4"/>
        <v>0</v>
      </c>
      <c r="H45" s="329"/>
      <c r="I45" s="330"/>
      <c r="W45" s="24"/>
      <c r="X45" s="26"/>
      <c r="Y45" s="24"/>
      <c r="Z45" s="25"/>
      <c r="AA45" s="24"/>
      <c r="AB45" s="24"/>
    </row>
    <row r="46" spans="1:28" s="1" customFormat="1" ht="12.75" customHeight="1">
      <c r="A46" s="984" t="s">
        <v>517</v>
      </c>
      <c r="B46" s="984"/>
      <c r="C46" s="984"/>
      <c r="D46" s="354" t="s">
        <v>107</v>
      </c>
      <c r="E46" s="899"/>
      <c r="F46" s="391">
        <v>200</v>
      </c>
      <c r="G46" s="431">
        <f t="shared" si="4"/>
        <v>0</v>
      </c>
      <c r="H46" s="329"/>
      <c r="I46" s="330"/>
      <c r="W46" s="24"/>
      <c r="X46" s="26"/>
      <c r="Y46" s="24"/>
      <c r="Z46" s="24"/>
      <c r="AA46" s="24"/>
      <c r="AB46" s="24"/>
    </row>
    <row r="47" spans="1:28" s="1" customFormat="1" ht="12.75" customHeight="1">
      <c r="A47" s="984" t="s">
        <v>527</v>
      </c>
      <c r="B47" s="984"/>
      <c r="C47" s="984"/>
      <c r="D47" s="438" t="s">
        <v>107</v>
      </c>
      <c r="E47" s="900"/>
      <c r="F47" s="426">
        <v>350</v>
      </c>
      <c r="G47" s="431">
        <f t="shared" si="4"/>
        <v>0</v>
      </c>
      <c r="H47" s="329"/>
      <c r="I47" s="327"/>
      <c r="W47" s="24"/>
      <c r="X47" s="26"/>
      <c r="Y47" s="24"/>
      <c r="Z47" s="24"/>
      <c r="AA47" s="24"/>
      <c r="AB47" s="24"/>
    </row>
    <row r="48" spans="3:28" s="1" customFormat="1" ht="12.75" customHeight="1">
      <c r="C48" s="863" t="s">
        <v>349</v>
      </c>
      <c r="D48" s="360"/>
      <c r="E48" s="423"/>
      <c r="F48" s="75"/>
      <c r="G48" s="581">
        <f>Bâtiments!$E$27</f>
        <v>0</v>
      </c>
      <c r="H48" s="329"/>
      <c r="I48" s="632">
        <f>(IF((SUM(Bâtiments!C24:C26))&gt;8,8,(SUM(Bâtiments!C24:C26))))*50</f>
        <v>0</v>
      </c>
      <c r="W48" s="24"/>
      <c r="X48" s="26"/>
      <c r="Y48" s="24"/>
      <c r="Z48" s="28"/>
      <c r="AA48" s="24"/>
      <c r="AB48" s="24"/>
    </row>
    <row r="49" spans="4:28" s="1" customFormat="1" ht="13.5" customHeight="1">
      <c r="D49" s="325"/>
      <c r="E49" s="2"/>
      <c r="F49" s="589" t="s">
        <v>175</v>
      </c>
      <c r="G49" s="739">
        <f>SUM(G35:G48)</f>
        <v>0</v>
      </c>
      <c r="H49" s="329"/>
      <c r="I49" s="329"/>
      <c r="W49" s="24"/>
      <c r="X49" s="26"/>
      <c r="Y49" s="24"/>
      <c r="Z49" s="28"/>
      <c r="AA49" s="24"/>
      <c r="AB49" s="24"/>
    </row>
    <row r="50" spans="4:28" s="1" customFormat="1" ht="12.75" customHeight="1">
      <c r="D50" s="325"/>
      <c r="E50" s="2"/>
      <c r="F50" s="402"/>
      <c r="G50" s="582"/>
      <c r="H50" s="329"/>
      <c r="I50" s="329"/>
      <c r="W50" s="24"/>
      <c r="X50" s="26"/>
      <c r="Y50" s="24"/>
      <c r="Z50" s="28"/>
      <c r="AA50" s="24"/>
      <c r="AB50" s="24"/>
    </row>
    <row r="51" spans="1:28" s="1" customFormat="1" ht="12.75" customHeight="1">
      <c r="A51" s="63" t="s">
        <v>282</v>
      </c>
      <c r="B51" s="312"/>
      <c r="C51" s="312"/>
      <c r="D51" s="312"/>
      <c r="E51" s="321"/>
      <c r="F51" s="331" t="s">
        <v>281</v>
      </c>
      <c r="G51" s="544">
        <f>$G$49+$G$31</f>
        <v>0</v>
      </c>
      <c r="H51" s="321"/>
      <c r="I51" s="531">
        <f>$G$49+$I$31</f>
        <v>0</v>
      </c>
      <c r="W51" s="24"/>
      <c r="X51" s="26"/>
      <c r="Y51" s="24"/>
      <c r="Z51" s="28"/>
      <c r="AA51" s="24"/>
      <c r="AB51" s="24"/>
    </row>
    <row r="52" spans="1:28" s="1" customFormat="1" ht="12.75" customHeight="1">
      <c r="A52" s="322"/>
      <c r="B52" s="321"/>
      <c r="C52" s="320" t="s">
        <v>132</v>
      </c>
      <c r="D52" s="604">
        <f>IF('Données générales'!$Q$16=3,3,(IF('Données générales'!$Q$16=2,(IF('Données générales'!L17=0,0,IF('Données générales'!L17&lt;600,5,IF('Données générales'!L17&lt;700,5.5,IF('Données générales'!L17&lt;800,6,IF('Données générales'!L17&lt;900,6.5,7)))))),IF('Données générales'!L17=0,0,IF('Données générales'!L17&lt;600,4,IF('Données générales'!L17&lt;700,4.5,IF('Données générales'!L17&lt;800,5,IF('Données générales'!L17&lt;900,5.5,6))))))))</f>
        <v>0</v>
      </c>
      <c r="E52" s="610" t="str">
        <f>IF('Données générales'!$Q$16=3,"sem. de stockage","mois de stockage")</f>
        <v>mois de stockage</v>
      </c>
      <c r="F52" s="321"/>
      <c r="G52" s="545">
        <f>IF(D52=0,0,IF('Données générales'!Q16=3,(G51/52*D52),($G$51/12)*$D$52))</f>
        <v>0</v>
      </c>
      <c r="H52" s="321"/>
      <c r="I52" s="531">
        <f>($I$51/12)*$D$52</f>
        <v>0</v>
      </c>
      <c r="W52" s="24"/>
      <c r="X52" s="26"/>
      <c r="Y52" s="24"/>
      <c r="Z52" s="28"/>
      <c r="AA52" s="24"/>
      <c r="AB52" s="24"/>
    </row>
    <row r="53" spans="1:28" s="1" customFormat="1" ht="15.75" customHeight="1" thickBot="1">
      <c r="A53" s="322"/>
      <c r="B53" s="325"/>
      <c r="E53" s="308"/>
      <c r="F53" s="320" t="s">
        <v>279</v>
      </c>
      <c r="G53" s="545">
        <f>Bâtiments!$E$38</f>
        <v>0</v>
      </c>
      <c r="H53" s="308"/>
      <c r="I53" s="532">
        <f>Bâtiments!$E$38</f>
        <v>0</v>
      </c>
      <c r="W53" s="24"/>
      <c r="X53" s="26"/>
      <c r="Y53" s="24"/>
      <c r="Z53" s="28"/>
      <c r="AA53" s="24"/>
      <c r="AB53" s="24"/>
    </row>
    <row r="54" spans="1:28" s="392" customFormat="1" ht="16.5" customHeight="1" thickBot="1" thickTop="1">
      <c r="A54" s="576"/>
      <c r="B54" s="575"/>
      <c r="E54" s="60"/>
      <c r="F54" s="570" t="s">
        <v>280</v>
      </c>
      <c r="G54" s="577">
        <f>IF('Effectifs bétail'!F47=0,"",IF(G52&lt;=G53,"0",G52-G53))</f>
      </c>
      <c r="H54" s="60"/>
      <c r="I54" s="577">
        <f>IF(I52&lt;=I53,0,I52-I53)</f>
        <v>0</v>
      </c>
      <c r="W54" s="578"/>
      <c r="X54" s="579"/>
      <c r="Y54" s="578"/>
      <c r="Z54" s="580"/>
      <c r="AA54" s="578"/>
      <c r="AB54" s="578"/>
    </row>
    <row r="55" spans="6:28" s="1" customFormat="1" ht="9.75" customHeight="1" thickTop="1">
      <c r="F55" s="325"/>
      <c r="H55" s="329"/>
      <c r="I55" s="329"/>
      <c r="W55" s="24"/>
      <c r="X55" s="26"/>
      <c r="Y55" s="24"/>
      <c r="Z55" s="28"/>
      <c r="AA55" s="24"/>
      <c r="AB55" s="24"/>
    </row>
    <row r="56" spans="1:28" s="1" customFormat="1" ht="12.75">
      <c r="A56" s="63" t="s">
        <v>336</v>
      </c>
      <c r="F56" s="325"/>
      <c r="H56" s="329"/>
      <c r="I56" s="329"/>
      <c r="W56" s="24"/>
      <c r="X56" s="26"/>
      <c r="Y56" s="24"/>
      <c r="Z56" s="28"/>
      <c r="AA56" s="24"/>
      <c r="AB56" s="24"/>
    </row>
    <row r="57" spans="1:28" s="1" customFormat="1" ht="12.75" customHeight="1">
      <c r="A57" s="985" t="s">
        <v>355</v>
      </c>
      <c r="B57" s="985"/>
      <c r="C57" s="985"/>
      <c r="D57" s="985"/>
      <c r="G57" s="552">
        <f>IF(L58=1,($E$7+$E$8+E16+E27+E28+E29)/2,IF(L58=2,(($E$7+$E$8))/2*1.33+(E16+E27+E28+E29)/2,(($E$7+$E$8))/2*1.5+(E16+E27+E28+E29)/2))</f>
        <v>0</v>
      </c>
      <c r="H57" s="329"/>
      <c r="I57" s="612"/>
      <c r="W57" s="24"/>
      <c r="X57" s="26"/>
      <c r="Y57" s="24"/>
      <c r="Z57" s="28"/>
      <c r="AA57" s="24"/>
      <c r="AB57" s="24"/>
    </row>
    <row r="58" spans="5:28" s="1" customFormat="1" ht="14.25" customHeight="1">
      <c r="E58" s="495"/>
      <c r="F58" s="320" t="s">
        <v>337</v>
      </c>
      <c r="G58" s="542">
        <f>((SUM(E9:E12)+E17+E18+E21+E23+E24+E25)/3)</f>
        <v>0</v>
      </c>
      <c r="H58" s="329"/>
      <c r="I58" s="612"/>
      <c r="L58" s="652">
        <v>1</v>
      </c>
      <c r="W58" s="24"/>
      <c r="X58" s="26"/>
      <c r="Y58" s="24"/>
      <c r="Z58" s="28"/>
      <c r="AA58" s="24"/>
      <c r="AB58" s="24"/>
    </row>
    <row r="59" spans="1:28" s="1" customFormat="1" ht="15" customHeight="1">
      <c r="A59" s="596"/>
      <c r="B59" s="609"/>
      <c r="D59" s="3"/>
      <c r="F59" s="463" t="s">
        <v>338</v>
      </c>
      <c r="G59" s="542">
        <f>IF('Effectifs bétail'!F47=0,0,IF(G58+G57&lt;20,20,G57+G58))</f>
        <v>0</v>
      </c>
      <c r="H59" s="439"/>
      <c r="I59" s="574"/>
      <c r="L59" s="611"/>
      <c r="W59" s="24"/>
      <c r="X59" s="26"/>
      <c r="Y59" s="24"/>
      <c r="Z59" s="28"/>
      <c r="AA59" s="24"/>
      <c r="AB59" s="24"/>
    </row>
    <row r="60" spans="1:28" s="1" customFormat="1" ht="15.75" customHeight="1" thickBot="1">
      <c r="A60" s="595"/>
      <c r="B60" s="609"/>
      <c r="D60" s="3"/>
      <c r="F60" s="463" t="s">
        <v>340</v>
      </c>
      <c r="G60" s="542">
        <f>Bâtiments!$D$45</f>
        <v>0</v>
      </c>
      <c r="H60" s="439"/>
      <c r="I60" s="574"/>
      <c r="L60" s="34" t="s">
        <v>352</v>
      </c>
      <c r="W60" s="24"/>
      <c r="X60" s="26"/>
      <c r="Y60" s="24"/>
      <c r="Z60" s="28"/>
      <c r="AA60" s="24"/>
      <c r="AB60" s="24"/>
    </row>
    <row r="61" spans="3:28" s="1" customFormat="1" ht="16.5" customHeight="1" thickBot="1" thickTop="1">
      <c r="C61" s="392"/>
      <c r="D61" s="583"/>
      <c r="E61" s="392"/>
      <c r="F61" s="584" t="s">
        <v>283</v>
      </c>
      <c r="G61" s="585">
        <f>IF('Effectifs bétail'!F47=0,"",IF(G59&lt;=Bâtiments!$D$45,"0",G59-Bâtiments!$D$45))</f>
      </c>
      <c r="H61" s="392"/>
      <c r="I61" s="613"/>
      <c r="L61" s="34" t="s">
        <v>353</v>
      </c>
      <c r="W61" s="24"/>
      <c r="X61" s="26"/>
      <c r="Y61" s="24"/>
      <c r="Z61" s="28"/>
      <c r="AA61" s="24"/>
      <c r="AB61" s="24"/>
    </row>
    <row r="62" spans="1:28" s="392" customFormat="1" ht="9.75" customHeight="1" thickBot="1" thickTop="1">
      <c r="A62" s="384"/>
      <c r="B62" s="384"/>
      <c r="C62" s="384"/>
      <c r="D62" s="384"/>
      <c r="E62" s="386"/>
      <c r="F62" s="385"/>
      <c r="G62" s="437"/>
      <c r="H62" s="387"/>
      <c r="I62" s="387"/>
      <c r="L62" s="614" t="s">
        <v>354</v>
      </c>
      <c r="W62" s="578"/>
      <c r="X62" s="579"/>
      <c r="Y62" s="578"/>
      <c r="Z62" s="580"/>
      <c r="AA62" s="578"/>
      <c r="AB62" s="578"/>
    </row>
    <row r="63" spans="1:28" s="1" customFormat="1" ht="24" customHeight="1" thickTop="1">
      <c r="A63" s="607" t="s">
        <v>350</v>
      </c>
      <c r="B63" s="312"/>
      <c r="C63" s="321"/>
      <c r="D63" s="322"/>
      <c r="E63" s="337"/>
      <c r="F63" s="312"/>
      <c r="G63" s="311"/>
      <c r="H63" s="311"/>
      <c r="I63" s="311"/>
      <c r="W63" s="24"/>
      <c r="X63" s="26"/>
      <c r="Y63" s="24"/>
      <c r="Z63" s="28"/>
      <c r="AA63" s="24"/>
      <c r="AB63" s="24"/>
    </row>
    <row r="64" spans="1:28" s="1" customFormat="1" ht="12.75" hidden="1">
      <c r="A64" s="321"/>
      <c r="B64" s="312"/>
      <c r="C64" s="321"/>
      <c r="D64" s="322"/>
      <c r="E64" s="337"/>
      <c r="F64" s="312"/>
      <c r="G64" s="311"/>
      <c r="H64" s="311"/>
      <c r="I64" s="311"/>
      <c r="W64" s="24"/>
      <c r="X64" s="26"/>
      <c r="Y64" s="24"/>
      <c r="Z64" s="28"/>
      <c r="AA64" s="24"/>
      <c r="AB64" s="24"/>
    </row>
    <row r="65" spans="1:28" s="1" customFormat="1" ht="17.25" customHeight="1">
      <c r="A65" s="983" t="s">
        <v>136</v>
      </c>
      <c r="B65" s="983"/>
      <c r="D65" s="322"/>
      <c r="E65" s="986" t="s">
        <v>272</v>
      </c>
      <c r="F65" s="986"/>
      <c r="G65" s="986"/>
      <c r="H65" s="986"/>
      <c r="I65" s="986"/>
      <c r="W65" s="24"/>
      <c r="X65" s="26"/>
      <c r="Y65" s="24"/>
      <c r="Z65" s="28"/>
      <c r="AA65" s="24"/>
      <c r="AB65" s="24"/>
    </row>
    <row r="66" spans="1:28" s="1" customFormat="1" ht="8.25" customHeight="1">
      <c r="A66" s="5"/>
      <c r="B66" s="8"/>
      <c r="C66" s="4"/>
      <c r="E66" s="313"/>
      <c r="F66" s="8"/>
      <c r="G66" s="311"/>
      <c r="H66" s="311"/>
      <c r="I66" s="311"/>
      <c r="W66" s="24"/>
      <c r="X66" s="26"/>
      <c r="Y66" s="24"/>
      <c r="Z66" s="28"/>
      <c r="AA66" s="24"/>
      <c r="AB66" s="24"/>
    </row>
    <row r="67" spans="1:28" s="1" customFormat="1" ht="16.5" customHeight="1">
      <c r="A67" s="983" t="s">
        <v>271</v>
      </c>
      <c r="B67" s="983"/>
      <c r="C67" s="4"/>
      <c r="E67" s="313"/>
      <c r="F67" s="8"/>
      <c r="G67" s="311"/>
      <c r="H67" s="311"/>
      <c r="I67" s="311"/>
      <c r="W67" s="24"/>
      <c r="X67" s="26"/>
      <c r="Y67" s="24"/>
      <c r="Z67" s="28"/>
      <c r="AA67" s="24"/>
      <c r="AB67" s="24"/>
    </row>
    <row r="68" spans="1:28" s="1" customFormat="1" ht="14.25" customHeight="1">
      <c r="A68" s="5"/>
      <c r="B68" s="8"/>
      <c r="C68" s="4"/>
      <c r="E68" s="313"/>
      <c r="F68" s="8"/>
      <c r="G68" s="311"/>
      <c r="H68" s="311"/>
      <c r="I68" s="311"/>
      <c r="J68" s="2"/>
      <c r="W68" s="24"/>
      <c r="X68" s="26"/>
      <c r="Y68" s="24"/>
      <c r="Z68" s="28"/>
      <c r="AA68" s="24"/>
      <c r="AB68" s="24"/>
    </row>
    <row r="69" spans="1:28" s="1" customFormat="1" ht="11.25">
      <c r="A69" s="5"/>
      <c r="B69" s="8"/>
      <c r="C69" s="5"/>
      <c r="E69" s="8"/>
      <c r="F69" s="8"/>
      <c r="G69" s="311"/>
      <c r="H69" s="311"/>
      <c r="I69" s="311"/>
      <c r="J69" s="2"/>
      <c r="W69" s="24"/>
      <c r="X69" s="26"/>
      <c r="Y69" s="24"/>
      <c r="Z69" s="28"/>
      <c r="AA69" s="24"/>
      <c r="AB69" s="24"/>
    </row>
    <row r="70" spans="2:28" s="1" customFormat="1" ht="11.25">
      <c r="B70" s="8"/>
      <c r="E70" s="313"/>
      <c r="F70" s="8"/>
      <c r="G70" s="311"/>
      <c r="H70" s="311"/>
      <c r="I70" s="311"/>
      <c r="J70" s="2"/>
      <c r="W70" s="24"/>
      <c r="X70" s="26"/>
      <c r="Y70" s="24"/>
      <c r="Z70" s="28"/>
      <c r="AA70" s="24"/>
      <c r="AB70" s="24"/>
    </row>
    <row r="71" spans="1:28" s="1" customFormat="1" ht="12.75">
      <c r="A71" s="2"/>
      <c r="B71" s="2"/>
      <c r="C71" s="2"/>
      <c r="D71" s="2"/>
      <c r="E71" s="325"/>
      <c r="F71" s="8"/>
      <c r="G71" s="311"/>
      <c r="H71" s="311"/>
      <c r="I71" s="311"/>
      <c r="J71" s="2"/>
      <c r="W71" s="24"/>
      <c r="X71" s="26"/>
      <c r="Y71" s="24"/>
      <c r="Z71" s="28"/>
      <c r="AA71" s="24"/>
      <c r="AB71" s="24"/>
    </row>
    <row r="72" spans="1:28" s="1" customFormat="1" ht="12.75">
      <c r="A72" s="3"/>
      <c r="B72" s="2"/>
      <c r="C72" s="2"/>
      <c r="D72" s="2"/>
      <c r="E72" s="325"/>
      <c r="F72" s="8"/>
      <c r="G72" s="311"/>
      <c r="H72" s="311"/>
      <c r="I72" s="311"/>
      <c r="J72" s="2"/>
      <c r="W72" s="24"/>
      <c r="X72" s="26"/>
      <c r="Y72" s="24"/>
      <c r="Z72" s="35"/>
      <c r="AA72" s="24"/>
      <c r="AB72" s="24"/>
    </row>
    <row r="73" spans="2:28" s="1" customFormat="1" ht="11.25">
      <c r="B73" s="8"/>
      <c r="C73" s="62"/>
      <c r="D73" s="21"/>
      <c r="E73" s="21"/>
      <c r="F73" s="8"/>
      <c r="G73" s="311"/>
      <c r="H73" s="311"/>
      <c r="I73" s="311"/>
      <c r="J73" s="2"/>
      <c r="W73" s="25"/>
      <c r="X73" s="26"/>
      <c r="Y73" s="36"/>
      <c r="Z73" s="28"/>
      <c r="AA73" s="24"/>
      <c r="AB73" s="24"/>
    </row>
    <row r="74" spans="2:28" s="1" customFormat="1" ht="11.25">
      <c r="B74" s="5"/>
      <c r="C74" s="62"/>
      <c r="D74" s="21"/>
      <c r="F74" s="72"/>
      <c r="J74" s="2"/>
      <c r="W74" s="24"/>
      <c r="X74" s="26"/>
      <c r="Y74" s="24"/>
      <c r="Z74" s="28"/>
      <c r="AA74" s="24"/>
      <c r="AB74" s="24"/>
    </row>
    <row r="75" spans="2:28" s="1" customFormat="1" ht="11.25">
      <c r="B75" s="5"/>
      <c r="C75" s="62"/>
      <c r="D75" s="21"/>
      <c r="F75" s="72"/>
      <c r="J75" s="2"/>
      <c r="W75" s="24"/>
      <c r="X75" s="26"/>
      <c r="Y75" s="24"/>
      <c r="Z75" s="28"/>
      <c r="AA75" s="24"/>
      <c r="AB75" s="24"/>
    </row>
    <row r="76" spans="2:28" s="1" customFormat="1" ht="11.25">
      <c r="B76" s="5"/>
      <c r="E76" s="5"/>
      <c r="F76" s="5"/>
      <c r="J76" s="2"/>
      <c r="W76" s="24"/>
      <c r="X76" s="26"/>
      <c r="Y76" s="24"/>
      <c r="Z76" s="28"/>
      <c r="AA76" s="24"/>
      <c r="AB76" s="24"/>
    </row>
    <row r="77" spans="2:28" s="1" customFormat="1" ht="11.25">
      <c r="B77" s="5"/>
      <c r="D77" s="2"/>
      <c r="J77" s="2"/>
      <c r="W77" s="24"/>
      <c r="X77" s="26"/>
      <c r="Y77" s="24"/>
      <c r="Z77" s="24"/>
      <c r="AA77" s="24"/>
      <c r="AB77" s="24"/>
    </row>
    <row r="78" spans="1:28" s="1" customFormat="1" ht="11.25">
      <c r="A78" s="8"/>
      <c r="B78" s="8"/>
      <c r="C78" s="9"/>
      <c r="D78" s="2"/>
      <c r="E78" s="8"/>
      <c r="F78" s="8"/>
      <c r="G78" s="9"/>
      <c r="H78" s="9"/>
      <c r="I78" s="9"/>
      <c r="J78" s="2"/>
      <c r="W78" s="24"/>
      <c r="X78" s="26"/>
      <c r="Y78" s="24"/>
      <c r="Z78" s="24"/>
      <c r="AA78" s="24"/>
      <c r="AB78" s="24"/>
    </row>
    <row r="79" spans="1:28" s="1" customFormat="1" ht="11.25">
      <c r="A79" s="8"/>
      <c r="B79" s="8"/>
      <c r="C79" s="9"/>
      <c r="D79" s="2"/>
      <c r="E79" s="8"/>
      <c r="F79" s="8"/>
      <c r="G79" s="9"/>
      <c r="H79" s="9"/>
      <c r="I79" s="9"/>
      <c r="J79" s="2"/>
      <c r="W79" s="25"/>
      <c r="X79" s="25"/>
      <c r="Y79" s="25"/>
      <c r="Z79" s="24"/>
      <c r="AA79" s="24"/>
      <c r="AB79" s="24"/>
    </row>
    <row r="80" spans="1:28" s="1" customFormat="1" ht="11.25">
      <c r="A80" s="9"/>
      <c r="B80" s="10"/>
      <c r="C80" s="8"/>
      <c r="D80" s="2"/>
      <c r="E80" s="8"/>
      <c r="F80" s="8"/>
      <c r="G80" s="9"/>
      <c r="H80" s="9"/>
      <c r="I80" s="9"/>
      <c r="J80" s="2"/>
      <c r="W80" s="25"/>
      <c r="X80" s="25"/>
      <c r="Y80" s="25"/>
      <c r="Z80" s="24"/>
      <c r="AA80" s="24"/>
      <c r="AB80" s="24"/>
    </row>
    <row r="81" spans="1:28" s="1" customFormat="1" ht="11.25">
      <c r="A81" s="9"/>
      <c r="B81" s="10"/>
      <c r="C81" s="8"/>
      <c r="D81" s="2"/>
      <c r="E81" s="8"/>
      <c r="F81" s="2"/>
      <c r="G81" s="2"/>
      <c r="H81" s="29"/>
      <c r="J81" s="2"/>
      <c r="K81" s="5"/>
      <c r="W81" s="2"/>
      <c r="X81" s="2"/>
      <c r="Y81" s="2"/>
      <c r="Z81" s="2"/>
      <c r="AA81" s="2"/>
      <c r="AB81" s="2"/>
    </row>
    <row r="82" spans="1:28" s="1" customFormat="1" ht="11.25">
      <c r="A82" s="11"/>
      <c r="B82" s="12"/>
      <c r="C82" s="8"/>
      <c r="D82" s="2"/>
      <c r="E82" s="13"/>
      <c r="F82" s="2"/>
      <c r="G82" s="2"/>
      <c r="H82" s="32"/>
      <c r="I82" s="31"/>
      <c r="J82" s="2"/>
      <c r="K82" s="5"/>
      <c r="W82" s="2"/>
      <c r="X82" s="2"/>
      <c r="Y82" s="2"/>
      <c r="Z82" s="2"/>
      <c r="AA82" s="2"/>
      <c r="AB82" s="2"/>
    </row>
    <row r="83" spans="1:28" s="1" customFormat="1" ht="11.25">
      <c r="A83" s="15"/>
      <c r="B83" s="15"/>
      <c r="C83" s="15"/>
      <c r="D83" s="23"/>
      <c r="E83" s="16"/>
      <c r="F83" s="2"/>
      <c r="G83" s="2"/>
      <c r="H83" s="32"/>
      <c r="J83" s="2"/>
      <c r="K83" s="5"/>
      <c r="W83" s="2"/>
      <c r="X83" s="2"/>
      <c r="Y83" s="2"/>
      <c r="Z83" s="2"/>
      <c r="AA83" s="2"/>
      <c r="AB83" s="2"/>
    </row>
    <row r="84" spans="1:43" s="7" customFormat="1" ht="11.25">
      <c r="A84" s="8"/>
      <c r="B84" s="8"/>
      <c r="C84" s="8"/>
      <c r="D84" s="2"/>
      <c r="E84" s="8"/>
      <c r="F84" s="2"/>
      <c r="G84" s="2"/>
      <c r="H84" s="32"/>
      <c r="I84" s="30"/>
      <c r="J84" s="23"/>
      <c r="K84" s="5"/>
      <c r="W84" s="2"/>
      <c r="X84" s="2"/>
      <c r="Y84" s="2"/>
      <c r="Z84" s="2"/>
      <c r="AA84" s="2"/>
      <c r="AB84" s="2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28" s="1" customFormat="1" ht="11.25">
      <c r="A85" s="8"/>
      <c r="B85" s="8"/>
      <c r="C85" s="8"/>
      <c r="D85" s="2"/>
      <c r="E85" s="8"/>
      <c r="F85" s="2"/>
      <c r="G85" s="2"/>
      <c r="H85" s="32"/>
      <c r="I85" s="33"/>
      <c r="J85" s="2"/>
      <c r="K85" s="5"/>
      <c r="W85" s="2"/>
      <c r="X85" s="2"/>
      <c r="Y85" s="2"/>
      <c r="Z85" s="2"/>
      <c r="AA85" s="2"/>
      <c r="AB85" s="2"/>
    </row>
    <row r="86" spans="1:28" s="1" customFormat="1" ht="11.25">
      <c r="A86" s="8"/>
      <c r="B86" s="8"/>
      <c r="C86" s="8"/>
      <c r="D86" s="2"/>
      <c r="E86" s="8"/>
      <c r="F86" s="2"/>
      <c r="G86" s="2"/>
      <c r="H86" s="32"/>
      <c r="I86" s="31"/>
      <c r="J86" s="2"/>
      <c r="K86" s="5"/>
      <c r="W86" s="2"/>
      <c r="X86" s="2"/>
      <c r="Y86" s="2"/>
      <c r="Z86" s="2"/>
      <c r="AA86" s="2"/>
      <c r="AB86" s="2"/>
    </row>
    <row r="87" spans="1:43" s="1" customFormat="1" ht="11.25">
      <c r="A87" s="8"/>
      <c r="B87" s="8"/>
      <c r="C87" s="8"/>
      <c r="D87" s="2"/>
      <c r="E87" s="8"/>
      <c r="F87" s="2"/>
      <c r="G87" s="2"/>
      <c r="H87" s="32"/>
      <c r="I87" s="33"/>
      <c r="J87" s="2"/>
      <c r="K87" s="5"/>
      <c r="W87" s="23"/>
      <c r="X87" s="23"/>
      <c r="Y87" s="23"/>
      <c r="Z87" s="23"/>
      <c r="AA87" s="23"/>
      <c r="AB87" s="23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28" s="1" customFormat="1" ht="11.25">
      <c r="A88" s="8"/>
      <c r="B88" s="8"/>
      <c r="C88" s="8"/>
      <c r="D88" s="2"/>
      <c r="E88" s="8"/>
      <c r="F88" s="2"/>
      <c r="G88" s="2"/>
      <c r="H88" s="32"/>
      <c r="I88" s="31"/>
      <c r="J88" s="2"/>
      <c r="K88" s="5"/>
      <c r="W88" s="2"/>
      <c r="X88" s="2"/>
      <c r="Y88" s="2"/>
      <c r="Z88" s="2"/>
      <c r="AA88" s="2"/>
      <c r="AB88" s="2"/>
    </row>
    <row r="89" spans="1:28" s="1" customFormat="1" ht="12.75">
      <c r="A89" s="8"/>
      <c r="B89" s="8"/>
      <c r="C89" s="8"/>
      <c r="D89" s="4"/>
      <c r="E89" s="8"/>
      <c r="F89" s="2"/>
      <c r="G89" s="2"/>
      <c r="H89" s="32"/>
      <c r="I89" s="33"/>
      <c r="J89" s="2"/>
      <c r="K89" s="5"/>
      <c r="W89" s="2"/>
      <c r="X89" s="2"/>
      <c r="Y89" s="2"/>
      <c r="Z89" s="2"/>
      <c r="AA89" s="2"/>
      <c r="AB89" s="2"/>
    </row>
    <row r="90" spans="1:43" ht="12.75">
      <c r="A90" s="8"/>
      <c r="B90" s="8"/>
      <c r="C90" s="8"/>
      <c r="D90" s="4"/>
      <c r="E90" s="8"/>
      <c r="F90" s="2"/>
      <c r="G90" s="2"/>
      <c r="H90" s="32"/>
      <c r="I90" s="31"/>
      <c r="J90" s="4"/>
      <c r="K90" s="5"/>
      <c r="W90" s="2"/>
      <c r="X90" s="2"/>
      <c r="Y90" s="2"/>
      <c r="Z90" s="2"/>
      <c r="AA90" s="2"/>
      <c r="AB90" s="2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>
      <c r="A91" s="17"/>
      <c r="B91" s="8"/>
      <c r="C91" s="9"/>
      <c r="D91" s="4"/>
      <c r="E91" s="8"/>
      <c r="F91" s="2"/>
      <c r="G91" s="2"/>
      <c r="H91" s="32"/>
      <c r="I91" s="33"/>
      <c r="J91" s="4"/>
      <c r="K91" s="5"/>
      <c r="W91" s="2"/>
      <c r="X91" s="2"/>
      <c r="Y91" s="2"/>
      <c r="Z91" s="2"/>
      <c r="AA91" s="2"/>
      <c r="AB91" s="2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>
      <c r="A92" s="8"/>
      <c r="B92" s="8"/>
      <c r="C92" s="9"/>
      <c r="D92" s="4"/>
      <c r="E92" s="9"/>
      <c r="F92" s="2"/>
      <c r="G92" s="2"/>
      <c r="H92" s="32"/>
      <c r="I92" s="31"/>
      <c r="J92" s="4"/>
      <c r="K92" s="5"/>
      <c r="W92" s="2"/>
      <c r="X92" s="2"/>
      <c r="Y92" s="2"/>
      <c r="Z92" s="2"/>
      <c r="AA92" s="2"/>
      <c r="AB92" s="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28" ht="12.75">
      <c r="A93" s="14"/>
      <c r="B93" s="8"/>
      <c r="C93" s="8"/>
      <c r="D93" s="4"/>
      <c r="E93" s="8"/>
      <c r="F93" s="311"/>
      <c r="G93" s="319"/>
      <c r="H93" s="311"/>
      <c r="I93" s="33"/>
      <c r="J93" s="4"/>
      <c r="K93" s="5"/>
      <c r="W93" s="4"/>
      <c r="X93" s="4"/>
      <c r="Y93" s="4"/>
      <c r="Z93" s="4"/>
      <c r="AA93" s="4"/>
      <c r="AB93" s="4"/>
    </row>
    <row r="94" spans="1:28" ht="12.75">
      <c r="A94" s="8"/>
      <c r="B94" s="8"/>
      <c r="C94" s="8"/>
      <c r="D94" s="4"/>
      <c r="E94" s="8"/>
      <c r="F94" s="1"/>
      <c r="G94" s="2"/>
      <c r="H94" s="29"/>
      <c r="I94" s="30"/>
      <c r="J94" s="4"/>
      <c r="K94" s="5"/>
      <c r="W94" s="4"/>
      <c r="X94" s="4"/>
      <c r="Y94" s="4"/>
      <c r="Z94" s="4"/>
      <c r="AA94" s="4"/>
      <c r="AB94" s="4"/>
    </row>
    <row r="95" spans="1:28" ht="12.75">
      <c r="A95" s="17"/>
      <c r="B95" s="8"/>
      <c r="C95" s="8"/>
      <c r="D95" s="4"/>
      <c r="E95" s="8"/>
      <c r="F95" s="1"/>
      <c r="G95" s="1"/>
      <c r="H95" s="1"/>
      <c r="I95" s="31"/>
      <c r="J95" s="4"/>
      <c r="K95" s="5"/>
      <c r="W95" s="4"/>
      <c r="X95" s="4"/>
      <c r="Y95" s="4"/>
      <c r="Z95" s="4"/>
      <c r="AA95" s="4"/>
      <c r="AB95" s="4"/>
    </row>
    <row r="96" spans="1:28" ht="12.75">
      <c r="A96" s="8"/>
      <c r="B96" s="8"/>
      <c r="C96" s="8"/>
      <c r="D96" s="4"/>
      <c r="E96" s="8"/>
      <c r="F96" s="2"/>
      <c r="G96" s="2"/>
      <c r="H96" s="32"/>
      <c r="I96" s="31"/>
      <c r="J96" s="4"/>
      <c r="K96" s="5"/>
      <c r="W96" s="4"/>
      <c r="X96" s="4"/>
      <c r="Y96" s="4"/>
      <c r="Z96" s="4"/>
      <c r="AA96" s="4"/>
      <c r="AB96" s="4"/>
    </row>
    <row r="97" spans="1:28" ht="12.75">
      <c r="A97" s="8"/>
      <c r="B97" s="9"/>
      <c r="C97" s="8"/>
      <c r="D97" s="4"/>
      <c r="E97" s="9"/>
      <c r="F97" s="9"/>
      <c r="G97" s="9"/>
      <c r="H97" s="8"/>
      <c r="I97" s="8"/>
      <c r="J97" s="4"/>
      <c r="K97" s="5"/>
      <c r="W97" s="4"/>
      <c r="X97" s="4"/>
      <c r="Y97" s="4"/>
      <c r="Z97" s="4"/>
      <c r="AA97" s="4"/>
      <c r="AB97" s="4"/>
    </row>
    <row r="98" spans="1:28" ht="12.75">
      <c r="A98" s="8"/>
      <c r="B98" s="9"/>
      <c r="C98" s="8"/>
      <c r="D98" s="4"/>
      <c r="E98" s="9"/>
      <c r="F98" s="9"/>
      <c r="G98" s="9"/>
      <c r="H98" s="8"/>
      <c r="I98" s="8"/>
      <c r="J98" s="4"/>
      <c r="K98" s="5"/>
      <c r="W98" s="4"/>
      <c r="X98" s="4"/>
      <c r="Y98" s="4"/>
      <c r="Z98" s="4"/>
      <c r="AA98" s="4"/>
      <c r="AB98" s="4"/>
    </row>
    <row r="99" spans="1:28" ht="12.75">
      <c r="A99" s="8"/>
      <c r="B99" s="8"/>
      <c r="C99" s="8"/>
      <c r="D99" s="4"/>
      <c r="E99" s="8"/>
      <c r="F99" s="8"/>
      <c r="G99" s="8"/>
      <c r="H99" s="8"/>
      <c r="I99" s="8"/>
      <c r="J99" s="4"/>
      <c r="K99" s="5"/>
      <c r="W99" s="4"/>
      <c r="X99" s="4"/>
      <c r="Y99" s="4"/>
      <c r="Z99" s="4"/>
      <c r="AA99" s="4"/>
      <c r="AB99" s="4"/>
    </row>
    <row r="100" spans="1:28" ht="12.75">
      <c r="A100" s="17"/>
      <c r="B100" s="8"/>
      <c r="C100" s="8"/>
      <c r="D100" s="4"/>
      <c r="E100" s="8"/>
      <c r="F100" s="8"/>
      <c r="G100" s="8"/>
      <c r="H100" s="8"/>
      <c r="I100" s="8"/>
      <c r="J100" s="4"/>
      <c r="K100" s="5"/>
      <c r="W100" s="4"/>
      <c r="X100" s="4"/>
      <c r="Y100" s="4"/>
      <c r="Z100" s="4"/>
      <c r="AA100" s="4"/>
      <c r="AB100" s="4"/>
    </row>
    <row r="101" spans="1:28" ht="12.75">
      <c r="A101" s="8"/>
      <c r="B101" s="8"/>
      <c r="C101" s="8"/>
      <c r="D101" s="4"/>
      <c r="E101" s="8"/>
      <c r="F101" s="8"/>
      <c r="G101" s="8"/>
      <c r="H101" s="8"/>
      <c r="I101" s="8"/>
      <c r="J101" s="4"/>
      <c r="K101" s="5"/>
      <c r="W101" s="4"/>
      <c r="X101" s="4"/>
      <c r="Y101" s="4"/>
      <c r="Z101" s="4"/>
      <c r="AA101" s="4"/>
      <c r="AB101" s="4"/>
    </row>
    <row r="102" spans="1:28" ht="12.75">
      <c r="A102" s="17"/>
      <c r="B102" s="8"/>
      <c r="C102" s="8"/>
      <c r="D102" s="4"/>
      <c r="E102" s="8"/>
      <c r="F102" s="8"/>
      <c r="G102" s="8"/>
      <c r="H102" s="8"/>
      <c r="I102" s="8"/>
      <c r="J102" s="4"/>
      <c r="K102" s="5"/>
      <c r="W102" s="4"/>
      <c r="X102" s="4"/>
      <c r="Y102" s="4"/>
      <c r="Z102" s="4"/>
      <c r="AA102" s="4"/>
      <c r="AB102" s="4"/>
    </row>
    <row r="103" spans="1:28" ht="12.75">
      <c r="A103" s="8"/>
      <c r="B103" s="8"/>
      <c r="C103" s="9"/>
      <c r="D103" s="4"/>
      <c r="E103" s="8"/>
      <c r="F103" s="9"/>
      <c r="G103" s="8"/>
      <c r="H103" s="8"/>
      <c r="I103" s="8"/>
      <c r="J103" s="4"/>
      <c r="K103" s="5"/>
      <c r="W103" s="4"/>
      <c r="X103" s="4"/>
      <c r="Y103" s="4"/>
      <c r="Z103" s="4"/>
      <c r="AA103" s="4"/>
      <c r="AB103" s="4"/>
    </row>
    <row r="104" spans="1:28" ht="12.75">
      <c r="A104" s="18"/>
      <c r="B104" s="18"/>
      <c r="C104" s="8"/>
      <c r="D104" s="4"/>
      <c r="E104" s="18"/>
      <c r="F104" s="18"/>
      <c r="G104" s="8"/>
      <c r="H104" s="8"/>
      <c r="I104" s="8"/>
      <c r="J104" s="4"/>
      <c r="K104" s="5"/>
      <c r="W104" s="4"/>
      <c r="X104" s="4"/>
      <c r="Y104" s="4"/>
      <c r="Z104" s="4"/>
      <c r="AA104" s="4"/>
      <c r="AB104" s="4"/>
    </row>
    <row r="105" spans="1:28" ht="12.75">
      <c r="A105" s="17"/>
      <c r="B105" s="8"/>
      <c r="C105" s="9"/>
      <c r="D105" s="4"/>
      <c r="E105" s="8"/>
      <c r="F105" s="9"/>
      <c r="G105" s="8"/>
      <c r="H105" s="9"/>
      <c r="I105" s="8"/>
      <c r="J105" s="4"/>
      <c r="K105" s="5"/>
      <c r="W105" s="4"/>
      <c r="X105" s="4"/>
      <c r="Y105" s="4"/>
      <c r="Z105" s="4"/>
      <c r="AA105" s="4"/>
      <c r="AB105" s="4"/>
    </row>
    <row r="106" spans="1:28" ht="12.75">
      <c r="A106" s="17"/>
      <c r="B106" s="8"/>
      <c r="C106" s="8"/>
      <c r="D106" s="4"/>
      <c r="E106" s="8"/>
      <c r="F106" s="9"/>
      <c r="G106" s="8"/>
      <c r="H106" s="8"/>
      <c r="I106" s="8"/>
      <c r="J106" s="4"/>
      <c r="K106" s="5"/>
      <c r="W106" s="4"/>
      <c r="X106" s="4"/>
      <c r="Y106" s="4"/>
      <c r="Z106" s="4"/>
      <c r="AA106" s="4"/>
      <c r="AB106" s="4"/>
    </row>
    <row r="107" spans="1:28" ht="12.75">
      <c r="A107" s="8"/>
      <c r="B107" s="8"/>
      <c r="C107" s="8"/>
      <c r="D107" s="4"/>
      <c r="E107" s="8"/>
      <c r="F107" s="8"/>
      <c r="G107" s="8"/>
      <c r="H107" s="8"/>
      <c r="I107" s="8"/>
      <c r="J107" s="4"/>
      <c r="K107" s="5"/>
      <c r="W107" s="4"/>
      <c r="X107" s="4"/>
      <c r="Y107" s="4"/>
      <c r="Z107" s="4"/>
      <c r="AA107" s="4"/>
      <c r="AB107" s="4"/>
    </row>
    <row r="108" spans="1:28" ht="12.75">
      <c r="A108" s="8"/>
      <c r="B108" s="8"/>
      <c r="C108" s="8"/>
      <c r="D108" s="4"/>
      <c r="E108" s="8"/>
      <c r="F108" s="8"/>
      <c r="G108" s="8"/>
      <c r="H108" s="8"/>
      <c r="I108" s="8"/>
      <c r="J108" s="4"/>
      <c r="K108" s="5"/>
      <c r="W108" s="4"/>
      <c r="X108" s="4"/>
      <c r="Y108" s="4"/>
      <c r="Z108" s="4"/>
      <c r="AA108" s="4"/>
      <c r="AB108" s="4"/>
    </row>
    <row r="109" spans="1:28" ht="12.75">
      <c r="A109" s="8"/>
      <c r="B109" s="8"/>
      <c r="C109" s="8"/>
      <c r="D109" s="4"/>
      <c r="E109" s="8"/>
      <c r="F109" s="8"/>
      <c r="G109" s="8"/>
      <c r="H109" s="8"/>
      <c r="I109" s="8"/>
      <c r="J109" s="4"/>
      <c r="K109" s="5"/>
      <c r="W109" s="4"/>
      <c r="X109" s="4"/>
      <c r="Y109" s="4"/>
      <c r="Z109" s="4"/>
      <c r="AA109" s="4"/>
      <c r="AB109" s="4"/>
    </row>
    <row r="110" spans="1:28" ht="12.75">
      <c r="A110" s="8"/>
      <c r="B110" s="8"/>
      <c r="C110" s="8"/>
      <c r="D110" s="4"/>
      <c r="E110" s="8"/>
      <c r="F110" s="8"/>
      <c r="G110" s="8"/>
      <c r="H110" s="8"/>
      <c r="I110" s="8"/>
      <c r="J110" s="4"/>
      <c r="K110" s="5"/>
      <c r="W110" s="4"/>
      <c r="X110" s="4"/>
      <c r="Y110" s="4"/>
      <c r="Z110" s="4"/>
      <c r="AA110" s="4"/>
      <c r="AB110" s="4"/>
    </row>
    <row r="111" spans="1:28" ht="12.75">
      <c r="A111" s="8"/>
      <c r="B111" s="8"/>
      <c r="C111" s="8"/>
      <c r="D111" s="4"/>
      <c r="E111" s="8"/>
      <c r="F111" s="8"/>
      <c r="G111" s="8"/>
      <c r="H111" s="8"/>
      <c r="I111" s="8"/>
      <c r="J111" s="4"/>
      <c r="K111" s="5"/>
      <c r="W111" s="4"/>
      <c r="X111" s="4"/>
      <c r="Y111" s="4"/>
      <c r="Z111" s="4"/>
      <c r="AA111" s="4"/>
      <c r="AB111" s="4"/>
    </row>
    <row r="112" spans="1:28" ht="12.75">
      <c r="A112" s="8"/>
      <c r="B112" s="8"/>
      <c r="C112" s="8"/>
      <c r="D112" s="4"/>
      <c r="E112" s="8"/>
      <c r="F112" s="8"/>
      <c r="G112" s="8"/>
      <c r="H112" s="8"/>
      <c r="I112" s="8"/>
      <c r="J112" s="4"/>
      <c r="K112" s="5"/>
      <c r="W112" s="4"/>
      <c r="X112" s="4"/>
      <c r="Y112" s="4"/>
      <c r="Z112" s="4"/>
      <c r="AA112" s="4"/>
      <c r="AB112" s="4"/>
    </row>
    <row r="113" spans="1:28" ht="12.75">
      <c r="A113" s="8"/>
      <c r="B113" s="8"/>
      <c r="C113" s="8"/>
      <c r="D113" s="4"/>
      <c r="E113" s="8"/>
      <c r="F113" s="8"/>
      <c r="G113" s="8"/>
      <c r="H113" s="8"/>
      <c r="I113" s="8"/>
      <c r="J113" s="4"/>
      <c r="K113" s="5"/>
      <c r="W113" s="4"/>
      <c r="X113" s="4"/>
      <c r="Y113" s="4"/>
      <c r="Z113" s="4"/>
      <c r="AA113" s="4"/>
      <c r="AB113" s="4"/>
    </row>
    <row r="114" spans="1:28" ht="12.75">
      <c r="A114" s="8"/>
      <c r="B114" s="8"/>
      <c r="C114" s="8"/>
      <c r="D114" s="4"/>
      <c r="E114" s="8"/>
      <c r="F114" s="8"/>
      <c r="G114" s="8"/>
      <c r="H114" s="8"/>
      <c r="I114" s="8"/>
      <c r="J114" s="4"/>
      <c r="K114" s="5"/>
      <c r="W114" s="4"/>
      <c r="X114" s="4"/>
      <c r="Y114" s="4"/>
      <c r="Z114" s="4"/>
      <c r="AA114" s="4"/>
      <c r="AB114" s="4"/>
    </row>
    <row r="115" spans="1:28" ht="12.75">
      <c r="A115" s="8"/>
      <c r="B115" s="8"/>
      <c r="C115" s="8"/>
      <c r="D115" s="4"/>
      <c r="E115" s="8"/>
      <c r="F115" s="8"/>
      <c r="G115" s="8"/>
      <c r="H115" s="8"/>
      <c r="I115" s="8"/>
      <c r="J115" s="4"/>
      <c r="K115" s="5"/>
      <c r="W115" s="4"/>
      <c r="X115" s="4"/>
      <c r="Y115" s="4"/>
      <c r="Z115" s="4"/>
      <c r="AA115" s="4"/>
      <c r="AB115" s="4"/>
    </row>
    <row r="116" spans="1:28" ht="12.75">
      <c r="A116" s="8"/>
      <c r="B116" s="8"/>
      <c r="C116" s="8"/>
      <c r="D116" s="4"/>
      <c r="E116" s="8"/>
      <c r="F116" s="19"/>
      <c r="G116" s="8"/>
      <c r="H116" s="8"/>
      <c r="I116" s="8"/>
      <c r="J116" s="4"/>
      <c r="K116" s="5"/>
      <c r="W116" s="4"/>
      <c r="X116" s="4"/>
      <c r="Y116" s="4"/>
      <c r="Z116" s="4"/>
      <c r="AA116" s="4"/>
      <c r="AB116" s="4"/>
    </row>
    <row r="117" spans="1:28" ht="12.75">
      <c r="A117" s="8"/>
      <c r="B117" s="8"/>
      <c r="C117" s="8"/>
      <c r="D117" s="4"/>
      <c r="E117" s="8"/>
      <c r="F117" s="8"/>
      <c r="G117" s="8"/>
      <c r="H117" s="8"/>
      <c r="I117" s="8"/>
      <c r="J117" s="4"/>
      <c r="K117" s="5"/>
      <c r="W117" s="4"/>
      <c r="X117" s="4"/>
      <c r="Y117" s="4"/>
      <c r="Z117" s="4"/>
      <c r="AA117" s="4"/>
      <c r="AB117" s="4"/>
    </row>
    <row r="118" spans="1:28" ht="12.75">
      <c r="A118" s="17"/>
      <c r="B118" s="8"/>
      <c r="C118" s="8"/>
      <c r="D118" s="4"/>
      <c r="E118" s="8"/>
      <c r="F118" s="8"/>
      <c r="G118" s="8"/>
      <c r="H118" s="8"/>
      <c r="I118" s="8"/>
      <c r="J118" s="4"/>
      <c r="K118" s="5"/>
      <c r="W118" s="4"/>
      <c r="X118" s="4"/>
      <c r="Y118" s="4"/>
      <c r="Z118" s="4"/>
      <c r="AA118" s="4"/>
      <c r="AB118" s="4"/>
    </row>
    <row r="119" spans="1:28" ht="12.75">
      <c r="A119" s="8"/>
      <c r="B119" s="8"/>
      <c r="C119" s="8"/>
      <c r="D119" s="4"/>
      <c r="E119" s="8"/>
      <c r="F119" s="8"/>
      <c r="G119" s="8"/>
      <c r="H119" s="8"/>
      <c r="I119" s="8"/>
      <c r="J119" s="4"/>
      <c r="K119" s="5"/>
      <c r="W119" s="4"/>
      <c r="X119" s="4"/>
      <c r="Y119" s="4"/>
      <c r="Z119" s="4"/>
      <c r="AA119" s="4"/>
      <c r="AB119" s="4"/>
    </row>
    <row r="120" spans="1:28" ht="12.75">
      <c r="A120" s="8"/>
      <c r="B120" s="8"/>
      <c r="C120" s="8"/>
      <c r="D120" s="4"/>
      <c r="E120" s="9"/>
      <c r="F120" s="9"/>
      <c r="G120" s="20"/>
      <c r="H120" s="9"/>
      <c r="I120" s="9"/>
      <c r="J120" s="4"/>
      <c r="K120" s="5"/>
      <c r="W120" s="4"/>
      <c r="X120" s="4"/>
      <c r="Y120" s="4"/>
      <c r="Z120" s="4"/>
      <c r="AA120" s="4"/>
      <c r="AB120" s="4"/>
    </row>
    <row r="121" spans="1:28" ht="12.75">
      <c r="A121" s="8"/>
      <c r="B121" s="8"/>
      <c r="C121" s="8"/>
      <c r="D121" s="4"/>
      <c r="E121" s="9"/>
      <c r="F121" s="9"/>
      <c r="G121" s="20"/>
      <c r="H121" s="9"/>
      <c r="I121" s="9"/>
      <c r="J121" s="4"/>
      <c r="K121" s="5"/>
      <c r="W121" s="4"/>
      <c r="X121" s="4"/>
      <c r="Y121" s="4"/>
      <c r="Z121" s="4"/>
      <c r="AA121" s="4"/>
      <c r="AB121" s="4"/>
    </row>
    <row r="122" spans="1:28" ht="12.75">
      <c r="A122" s="8"/>
      <c r="B122" s="8"/>
      <c r="C122" s="8"/>
      <c r="D122" s="4"/>
      <c r="E122" s="8"/>
      <c r="F122" s="8"/>
      <c r="G122" s="8"/>
      <c r="H122" s="8"/>
      <c r="I122" s="8"/>
      <c r="J122" s="4"/>
      <c r="K122" s="5"/>
      <c r="W122" s="4"/>
      <c r="X122" s="4"/>
      <c r="Y122" s="4"/>
      <c r="Z122" s="4"/>
      <c r="AA122" s="4"/>
      <c r="AB122" s="4"/>
    </row>
    <row r="123" spans="1:28" ht="12.75">
      <c r="A123" s="8"/>
      <c r="B123" s="8"/>
      <c r="C123" s="8"/>
      <c r="D123" s="4"/>
      <c r="E123" s="8"/>
      <c r="F123" s="8"/>
      <c r="G123" s="8"/>
      <c r="H123" s="8"/>
      <c r="I123" s="8"/>
      <c r="J123" s="4"/>
      <c r="K123" s="5"/>
      <c r="W123" s="4"/>
      <c r="X123" s="4"/>
      <c r="Y123" s="4"/>
      <c r="Z123" s="4"/>
      <c r="AA123" s="4"/>
      <c r="AB123" s="4"/>
    </row>
    <row r="124" spans="1:28" ht="12.75">
      <c r="A124" s="17"/>
      <c r="B124" s="9"/>
      <c r="C124" s="8"/>
      <c r="D124" s="4"/>
      <c r="E124" s="9"/>
      <c r="F124" s="8"/>
      <c r="G124" s="9"/>
      <c r="H124" s="9"/>
      <c r="I124" s="8"/>
      <c r="J124" s="4"/>
      <c r="K124" s="5"/>
      <c r="W124" s="4"/>
      <c r="X124" s="4"/>
      <c r="Y124" s="4"/>
      <c r="Z124" s="4"/>
      <c r="AA124" s="4"/>
      <c r="AB124" s="4"/>
    </row>
    <row r="125" spans="1:28" ht="12.75">
      <c r="A125" s="8"/>
      <c r="B125" s="9"/>
      <c r="C125" s="8"/>
      <c r="D125" s="4"/>
      <c r="E125" s="9"/>
      <c r="F125" s="8"/>
      <c r="G125" s="9"/>
      <c r="H125" s="9"/>
      <c r="I125" s="8"/>
      <c r="J125" s="4"/>
      <c r="K125" s="5"/>
      <c r="W125" s="4"/>
      <c r="X125" s="4"/>
      <c r="Y125" s="4"/>
      <c r="Z125" s="4"/>
      <c r="AA125" s="4"/>
      <c r="AB125" s="4"/>
    </row>
    <row r="126" spans="1:28" ht="12.75">
      <c r="A126" s="8"/>
      <c r="B126" s="8"/>
      <c r="C126" s="8"/>
      <c r="D126" s="4"/>
      <c r="E126" s="8"/>
      <c r="F126" s="8"/>
      <c r="G126" s="8"/>
      <c r="H126" s="8"/>
      <c r="I126" s="8"/>
      <c r="J126" s="4"/>
      <c r="K126" s="5"/>
      <c r="W126" s="4"/>
      <c r="X126" s="4"/>
      <c r="Y126" s="4"/>
      <c r="Z126" s="4"/>
      <c r="AA126" s="4"/>
      <c r="AB126" s="4"/>
    </row>
    <row r="127" spans="1:28" ht="12.75">
      <c r="A127" s="8"/>
      <c r="B127" s="8"/>
      <c r="C127" s="8"/>
      <c r="D127" s="4"/>
      <c r="E127" s="8"/>
      <c r="F127" s="8"/>
      <c r="G127" s="8"/>
      <c r="H127" s="8"/>
      <c r="I127" s="8"/>
      <c r="J127" s="4"/>
      <c r="K127" s="5"/>
      <c r="W127" s="4"/>
      <c r="X127" s="4"/>
      <c r="Y127" s="4"/>
      <c r="Z127" s="4"/>
      <c r="AA127" s="4"/>
      <c r="AB127" s="4"/>
    </row>
    <row r="128" spans="1:28" ht="12.75">
      <c r="A128" s="8"/>
      <c r="B128" s="8"/>
      <c r="C128" s="8"/>
      <c r="D128" s="4"/>
      <c r="E128" s="8"/>
      <c r="F128" s="8"/>
      <c r="G128" s="8"/>
      <c r="H128" s="8"/>
      <c r="I128" s="8"/>
      <c r="J128" s="4"/>
      <c r="K128" s="5"/>
      <c r="W128" s="4"/>
      <c r="X128" s="4"/>
      <c r="Y128" s="4"/>
      <c r="Z128" s="4"/>
      <c r="AA128" s="4"/>
      <c r="AB128" s="4"/>
    </row>
    <row r="129" spans="1:28" ht="12.75">
      <c r="A129" s="8"/>
      <c r="B129" s="8"/>
      <c r="C129" s="8"/>
      <c r="D129" s="4"/>
      <c r="E129" s="8"/>
      <c r="F129" s="8"/>
      <c r="G129" s="8"/>
      <c r="H129" s="8"/>
      <c r="I129" s="8"/>
      <c r="J129" s="4"/>
      <c r="K129" s="5"/>
      <c r="W129" s="4"/>
      <c r="X129" s="4"/>
      <c r="Y129" s="4"/>
      <c r="Z129" s="4"/>
      <c r="AA129" s="4"/>
      <c r="AB129" s="4"/>
    </row>
    <row r="130" spans="1:28" ht="12.75">
      <c r="A130" s="8"/>
      <c r="B130" s="8"/>
      <c r="C130" s="8"/>
      <c r="D130" s="4"/>
      <c r="E130" s="8"/>
      <c r="F130" s="8"/>
      <c r="G130" s="8"/>
      <c r="H130" s="8"/>
      <c r="I130" s="8"/>
      <c r="J130" s="4"/>
      <c r="K130" s="5"/>
      <c r="W130" s="4"/>
      <c r="X130" s="4"/>
      <c r="Y130" s="4"/>
      <c r="Z130" s="4"/>
      <c r="AA130" s="4"/>
      <c r="AB130" s="4"/>
    </row>
    <row r="131" spans="1:28" ht="12.75">
      <c r="A131" s="8"/>
      <c r="B131" s="8"/>
      <c r="C131" s="8"/>
      <c r="D131" s="4"/>
      <c r="E131" s="8"/>
      <c r="F131" s="8"/>
      <c r="G131" s="8"/>
      <c r="H131" s="8"/>
      <c r="I131" s="8"/>
      <c r="J131" s="4"/>
      <c r="K131" s="5"/>
      <c r="W131" s="4"/>
      <c r="X131" s="4"/>
      <c r="Y131" s="4"/>
      <c r="Z131" s="4"/>
      <c r="AA131" s="4"/>
      <c r="AB131" s="4"/>
    </row>
    <row r="132" spans="1:28" ht="12.75">
      <c r="A132" s="8"/>
      <c r="B132" s="8"/>
      <c r="C132" s="8"/>
      <c r="D132" s="4"/>
      <c r="E132" s="8"/>
      <c r="F132" s="8"/>
      <c r="G132" s="8"/>
      <c r="H132" s="8"/>
      <c r="I132" s="8"/>
      <c r="J132" s="4"/>
      <c r="K132" s="5"/>
      <c r="W132" s="4"/>
      <c r="X132" s="4"/>
      <c r="Y132" s="4"/>
      <c r="Z132" s="4"/>
      <c r="AA132" s="4"/>
      <c r="AB132" s="4"/>
    </row>
    <row r="133" spans="1:28" ht="12.75">
      <c r="A133" s="8"/>
      <c r="B133" s="8"/>
      <c r="C133" s="8"/>
      <c r="D133" s="4"/>
      <c r="E133" s="8"/>
      <c r="F133" s="8"/>
      <c r="G133" s="8"/>
      <c r="H133" s="8"/>
      <c r="I133" s="8"/>
      <c r="J133" s="4"/>
      <c r="K133" s="5"/>
      <c r="W133" s="4"/>
      <c r="X133" s="4"/>
      <c r="Y133" s="4"/>
      <c r="Z133" s="4"/>
      <c r="AA133" s="4"/>
      <c r="AB133" s="4"/>
    </row>
    <row r="134" spans="1:28" ht="12.75">
      <c r="A134" s="8"/>
      <c r="B134" s="8"/>
      <c r="C134" s="8"/>
      <c r="D134" s="4"/>
      <c r="E134" s="8"/>
      <c r="F134" s="8"/>
      <c r="G134" s="8"/>
      <c r="H134" s="8"/>
      <c r="I134" s="8"/>
      <c r="J134" s="4"/>
      <c r="K134" s="5"/>
      <c r="W134" s="4"/>
      <c r="X134" s="4"/>
      <c r="Y134" s="4"/>
      <c r="Z134" s="4"/>
      <c r="AA134" s="4"/>
      <c r="AB134" s="4"/>
    </row>
    <row r="135" spans="1:28" ht="12.75">
      <c r="A135" s="8"/>
      <c r="B135" s="8"/>
      <c r="C135" s="8"/>
      <c r="D135" s="4"/>
      <c r="E135" s="8"/>
      <c r="F135" s="8"/>
      <c r="G135" s="8"/>
      <c r="H135" s="8"/>
      <c r="I135" s="8"/>
      <c r="J135" s="4"/>
      <c r="K135" s="5"/>
      <c r="W135" s="4"/>
      <c r="X135" s="4"/>
      <c r="Y135" s="4"/>
      <c r="Z135" s="4"/>
      <c r="AA135" s="4"/>
      <c r="AB135" s="4"/>
    </row>
    <row r="136" spans="1:28" ht="12.75">
      <c r="A136" s="8"/>
      <c r="B136" s="8"/>
      <c r="C136" s="8"/>
      <c r="D136" s="4"/>
      <c r="E136" s="8"/>
      <c r="F136" s="8"/>
      <c r="G136" s="8"/>
      <c r="H136" s="8"/>
      <c r="I136" s="8"/>
      <c r="J136" s="4"/>
      <c r="K136" s="5"/>
      <c r="W136" s="4"/>
      <c r="X136" s="4"/>
      <c r="Y136" s="4"/>
      <c r="Z136" s="4"/>
      <c r="AA136" s="4"/>
      <c r="AB136" s="4"/>
    </row>
    <row r="137" spans="1:28" ht="12.75">
      <c r="A137" s="8"/>
      <c r="B137" s="8"/>
      <c r="C137" s="8"/>
      <c r="D137" s="4"/>
      <c r="E137" s="8"/>
      <c r="F137" s="8"/>
      <c r="G137" s="8"/>
      <c r="H137" s="8"/>
      <c r="I137" s="8"/>
      <c r="J137" s="4"/>
      <c r="K137" s="5"/>
      <c r="W137" s="4"/>
      <c r="X137" s="4"/>
      <c r="Y137" s="4"/>
      <c r="Z137" s="4"/>
      <c r="AA137" s="4"/>
      <c r="AB137" s="4"/>
    </row>
    <row r="138" spans="1:28" ht="12.75">
      <c r="A138" s="8"/>
      <c r="B138" s="8"/>
      <c r="C138" s="8"/>
      <c r="D138" s="4"/>
      <c r="E138" s="8"/>
      <c r="F138" s="8"/>
      <c r="G138" s="8"/>
      <c r="H138" s="8"/>
      <c r="I138" s="8"/>
      <c r="J138" s="4"/>
      <c r="K138" s="5"/>
      <c r="W138" s="4"/>
      <c r="X138" s="4"/>
      <c r="Y138" s="4"/>
      <c r="Z138" s="4"/>
      <c r="AA138" s="4"/>
      <c r="AB138" s="4"/>
    </row>
    <row r="139" spans="1:28" ht="12.75">
      <c r="A139" s="8"/>
      <c r="B139" s="8"/>
      <c r="C139" s="8"/>
      <c r="D139" s="4"/>
      <c r="E139" s="8"/>
      <c r="F139" s="8"/>
      <c r="G139" s="8"/>
      <c r="H139" s="8"/>
      <c r="I139" s="8"/>
      <c r="J139" s="4"/>
      <c r="K139" s="5"/>
      <c r="W139" s="4"/>
      <c r="X139" s="4"/>
      <c r="Y139" s="4"/>
      <c r="Z139" s="4"/>
      <c r="AA139" s="4"/>
      <c r="AB139" s="4"/>
    </row>
    <row r="140" spans="1:28" ht="12.75">
      <c r="A140" s="8"/>
      <c r="B140" s="8"/>
      <c r="C140" s="8"/>
      <c r="D140" s="4"/>
      <c r="E140" s="8"/>
      <c r="F140" s="8"/>
      <c r="G140" s="8"/>
      <c r="H140" s="8"/>
      <c r="I140" s="8"/>
      <c r="J140" s="4"/>
      <c r="K140" s="5"/>
      <c r="W140" s="4"/>
      <c r="X140" s="4"/>
      <c r="Y140" s="4"/>
      <c r="Z140" s="4"/>
      <c r="AA140" s="4"/>
      <c r="AB140" s="4"/>
    </row>
    <row r="141" spans="1:28" ht="12.75">
      <c r="A141" s="8"/>
      <c r="B141" s="8"/>
      <c r="C141" s="8"/>
      <c r="D141" s="4"/>
      <c r="E141" s="8"/>
      <c r="F141" s="8"/>
      <c r="G141" s="8"/>
      <c r="H141" s="8"/>
      <c r="I141" s="8"/>
      <c r="J141" s="4"/>
      <c r="K141" s="5"/>
      <c r="W141" s="4"/>
      <c r="X141" s="4"/>
      <c r="Y141" s="4"/>
      <c r="Z141" s="4"/>
      <c r="AA141" s="4"/>
      <c r="AB141" s="4"/>
    </row>
    <row r="142" spans="1:28" ht="12.75">
      <c r="A142" s="8"/>
      <c r="B142" s="8"/>
      <c r="C142" s="8"/>
      <c r="D142" s="4"/>
      <c r="E142" s="8"/>
      <c r="F142" s="8"/>
      <c r="G142" s="8"/>
      <c r="H142" s="8"/>
      <c r="I142" s="8"/>
      <c r="J142" s="4"/>
      <c r="K142" s="5"/>
      <c r="W142" s="4"/>
      <c r="X142" s="4"/>
      <c r="Y142" s="4"/>
      <c r="Z142" s="4"/>
      <c r="AA142" s="4"/>
      <c r="AB142" s="4"/>
    </row>
    <row r="143" spans="1:28" ht="12.75">
      <c r="A143" s="8"/>
      <c r="B143" s="8"/>
      <c r="C143" s="8"/>
      <c r="D143" s="4"/>
      <c r="E143" s="8"/>
      <c r="F143" s="8"/>
      <c r="G143" s="8"/>
      <c r="H143" s="8"/>
      <c r="I143" s="8"/>
      <c r="J143" s="4"/>
      <c r="K143" s="5"/>
      <c r="W143" s="4"/>
      <c r="X143" s="4"/>
      <c r="Y143" s="4"/>
      <c r="Z143" s="4"/>
      <c r="AA143" s="4"/>
      <c r="AB143" s="4"/>
    </row>
    <row r="144" spans="1:28" ht="12.75">
      <c r="A144" s="8"/>
      <c r="B144" s="8"/>
      <c r="C144" s="8"/>
      <c r="D144" s="4"/>
      <c r="E144" s="8"/>
      <c r="F144" s="8"/>
      <c r="G144" s="8"/>
      <c r="H144" s="8"/>
      <c r="I144" s="8"/>
      <c r="J144" s="4"/>
      <c r="K144" s="5"/>
      <c r="W144" s="4"/>
      <c r="X144" s="4"/>
      <c r="Y144" s="4"/>
      <c r="Z144" s="4"/>
      <c r="AA144" s="4"/>
      <c r="AB144" s="4"/>
    </row>
    <row r="145" spans="1:28" ht="12.75">
      <c r="A145" s="8"/>
      <c r="B145" s="8"/>
      <c r="C145" s="8"/>
      <c r="D145" s="4"/>
      <c r="E145" s="8"/>
      <c r="F145" s="8"/>
      <c r="G145" s="8"/>
      <c r="H145" s="8"/>
      <c r="I145" s="8"/>
      <c r="J145" s="4"/>
      <c r="K145" s="5"/>
      <c r="W145" s="4"/>
      <c r="X145" s="4"/>
      <c r="Y145" s="4"/>
      <c r="Z145" s="4"/>
      <c r="AA145" s="4"/>
      <c r="AB145" s="4"/>
    </row>
    <row r="146" spans="1:28" ht="12.75">
      <c r="A146" s="8"/>
      <c r="B146" s="8"/>
      <c r="C146" s="8"/>
      <c r="D146" s="4"/>
      <c r="E146" s="8"/>
      <c r="F146" s="8"/>
      <c r="G146" s="8"/>
      <c r="H146" s="8"/>
      <c r="I146" s="8"/>
      <c r="J146" s="4"/>
      <c r="K146" s="5"/>
      <c r="W146" s="4"/>
      <c r="X146" s="4"/>
      <c r="Y146" s="4"/>
      <c r="Z146" s="4"/>
      <c r="AA146" s="4"/>
      <c r="AB146" s="4"/>
    </row>
    <row r="147" spans="1:28" ht="12.75">
      <c r="A147" s="8"/>
      <c r="B147" s="8"/>
      <c r="C147" s="8"/>
      <c r="D147" s="4"/>
      <c r="E147" s="8"/>
      <c r="F147" s="8"/>
      <c r="G147" s="8"/>
      <c r="H147" s="8"/>
      <c r="I147" s="8"/>
      <c r="J147" s="4"/>
      <c r="K147" s="5"/>
      <c r="W147" s="4"/>
      <c r="X147" s="4"/>
      <c r="Y147" s="4"/>
      <c r="Z147" s="4"/>
      <c r="AA147" s="4"/>
      <c r="AB147" s="4"/>
    </row>
    <row r="148" spans="1:28" ht="12.75">
      <c r="A148" s="8"/>
      <c r="B148" s="8"/>
      <c r="C148" s="8"/>
      <c r="D148" s="4"/>
      <c r="E148" s="8"/>
      <c r="F148" s="8"/>
      <c r="G148" s="8"/>
      <c r="H148" s="8"/>
      <c r="I148" s="8"/>
      <c r="J148" s="4"/>
      <c r="K148" s="5"/>
      <c r="W148" s="4"/>
      <c r="X148" s="4"/>
      <c r="Y148" s="4"/>
      <c r="Z148" s="4"/>
      <c r="AA148" s="4"/>
      <c r="AB148" s="4"/>
    </row>
    <row r="149" spans="1:28" ht="12.75">
      <c r="A149" s="8"/>
      <c r="B149" s="8"/>
      <c r="C149" s="8"/>
      <c r="D149" s="4"/>
      <c r="E149" s="8"/>
      <c r="F149" s="8"/>
      <c r="G149" s="8"/>
      <c r="H149" s="8"/>
      <c r="I149" s="8"/>
      <c r="J149" s="4"/>
      <c r="K149" s="5"/>
      <c r="W149" s="4"/>
      <c r="X149" s="4"/>
      <c r="Y149" s="4"/>
      <c r="Z149" s="4"/>
      <c r="AA149" s="4"/>
      <c r="AB149" s="4"/>
    </row>
    <row r="150" spans="1:28" ht="12.75">
      <c r="A150" s="18"/>
      <c r="B150" s="18"/>
      <c r="C150" s="18"/>
      <c r="D150" s="4"/>
      <c r="E150" s="18"/>
      <c r="F150" s="18"/>
      <c r="G150" s="18"/>
      <c r="H150" s="18"/>
      <c r="I150" s="18"/>
      <c r="J150" s="4"/>
      <c r="K150" s="5"/>
      <c r="W150" s="4"/>
      <c r="X150" s="4"/>
      <c r="Y150" s="4"/>
      <c r="Z150" s="4"/>
      <c r="AA150" s="4"/>
      <c r="AB150" s="4"/>
    </row>
    <row r="151" spans="1:28" ht="12.75">
      <c r="A151" s="18"/>
      <c r="B151" s="18"/>
      <c r="C151" s="18"/>
      <c r="D151" s="4"/>
      <c r="E151" s="18"/>
      <c r="F151" s="18"/>
      <c r="G151" s="18"/>
      <c r="H151" s="18"/>
      <c r="I151" s="18"/>
      <c r="J151" s="4"/>
      <c r="K151" s="5"/>
      <c r="W151" s="4"/>
      <c r="X151" s="4"/>
      <c r="Y151" s="4"/>
      <c r="Z151" s="4"/>
      <c r="AA151" s="4"/>
      <c r="AB151" s="4"/>
    </row>
    <row r="152" spans="1:28" ht="12.75">
      <c r="A152" s="18"/>
      <c r="B152" s="18"/>
      <c r="C152" s="18"/>
      <c r="D152" s="4"/>
      <c r="E152" s="18"/>
      <c r="F152" s="18"/>
      <c r="G152" s="18"/>
      <c r="H152" s="18"/>
      <c r="I152" s="18"/>
      <c r="J152" s="4"/>
      <c r="K152" s="5"/>
      <c r="W152" s="4"/>
      <c r="X152" s="4"/>
      <c r="Y152" s="4"/>
      <c r="Z152" s="4"/>
      <c r="AA152" s="4"/>
      <c r="AB152" s="4"/>
    </row>
    <row r="153" spans="1:28" ht="12.75">
      <c r="A153" s="18"/>
      <c r="B153" s="18"/>
      <c r="C153" s="18"/>
      <c r="D153" s="4"/>
      <c r="E153" s="18"/>
      <c r="F153" s="18"/>
      <c r="G153" s="18"/>
      <c r="H153" s="18"/>
      <c r="I153" s="18"/>
      <c r="J153" s="4"/>
      <c r="K153" s="5"/>
      <c r="W153" s="4"/>
      <c r="X153" s="4"/>
      <c r="Y153" s="4"/>
      <c r="Z153" s="4"/>
      <c r="AA153" s="4"/>
      <c r="AB153" s="4"/>
    </row>
    <row r="154" spans="1:28" ht="12.75">
      <c r="A154" s="18"/>
      <c r="B154" s="18"/>
      <c r="C154" s="18"/>
      <c r="D154" s="4"/>
      <c r="E154" s="18"/>
      <c r="F154" s="18"/>
      <c r="G154" s="18"/>
      <c r="H154" s="18"/>
      <c r="I154" s="18"/>
      <c r="J154" s="4"/>
      <c r="K154" s="5"/>
      <c r="W154" s="4"/>
      <c r="X154" s="4"/>
      <c r="Y154" s="4"/>
      <c r="Z154" s="4"/>
      <c r="AA154" s="4"/>
      <c r="AB154" s="4"/>
    </row>
    <row r="155" spans="1:28" ht="12.75">
      <c r="A155" s="18"/>
      <c r="B155" s="18"/>
      <c r="C155" s="18"/>
      <c r="D155" s="4"/>
      <c r="E155" s="18"/>
      <c r="F155" s="18"/>
      <c r="G155" s="18"/>
      <c r="H155" s="18"/>
      <c r="I155" s="18"/>
      <c r="J155" s="4"/>
      <c r="K155" s="5"/>
      <c r="W155" s="4"/>
      <c r="X155" s="4"/>
      <c r="Y155" s="4"/>
      <c r="Z155" s="4"/>
      <c r="AA155" s="4"/>
      <c r="AB155" s="4"/>
    </row>
    <row r="156" spans="1:28" ht="12.75">
      <c r="A156" s="18"/>
      <c r="B156" s="18"/>
      <c r="C156" s="18"/>
      <c r="D156" s="4"/>
      <c r="E156" s="18"/>
      <c r="F156" s="18"/>
      <c r="G156" s="18"/>
      <c r="H156" s="18"/>
      <c r="I156" s="18"/>
      <c r="J156" s="4"/>
      <c r="K156" s="5"/>
      <c r="W156" s="4"/>
      <c r="X156" s="4"/>
      <c r="Y156" s="4"/>
      <c r="Z156" s="4"/>
      <c r="AA156" s="4"/>
      <c r="AB156" s="4"/>
    </row>
    <row r="157" spans="1:28" ht="12.75">
      <c r="A157" s="18"/>
      <c r="B157" s="18"/>
      <c r="C157" s="18"/>
      <c r="D157" s="4"/>
      <c r="E157" s="18"/>
      <c r="F157" s="18"/>
      <c r="G157" s="18"/>
      <c r="H157" s="18"/>
      <c r="I157" s="18"/>
      <c r="J157" s="4"/>
      <c r="W157" s="4"/>
      <c r="X157" s="4"/>
      <c r="Y157" s="4"/>
      <c r="Z157" s="4"/>
      <c r="AA157" s="4"/>
      <c r="AB157" s="4"/>
    </row>
    <row r="158" spans="1:28" ht="12.75">
      <c r="A158" s="18"/>
      <c r="B158" s="18"/>
      <c r="C158" s="18"/>
      <c r="D158" s="4"/>
      <c r="E158" s="18"/>
      <c r="F158" s="18"/>
      <c r="G158" s="18"/>
      <c r="H158" s="18"/>
      <c r="I158" s="18"/>
      <c r="J158" s="4"/>
      <c r="W158" s="4"/>
      <c r="X158" s="4"/>
      <c r="Y158" s="4"/>
      <c r="Z158" s="4"/>
      <c r="AA158" s="4"/>
      <c r="AB158" s="4"/>
    </row>
    <row r="159" spans="1:28" ht="12.75">
      <c r="A159" s="18"/>
      <c r="B159" s="18"/>
      <c r="C159" s="18"/>
      <c r="D159" s="4"/>
      <c r="E159" s="18"/>
      <c r="F159" s="18"/>
      <c r="G159" s="18"/>
      <c r="H159" s="18"/>
      <c r="I159" s="18"/>
      <c r="J159" s="4"/>
      <c r="W159" s="4"/>
      <c r="X159" s="4"/>
      <c r="Y159" s="4"/>
      <c r="Z159" s="4"/>
      <c r="AA159" s="4"/>
      <c r="AB159" s="4"/>
    </row>
    <row r="160" spans="1:28" ht="12.75">
      <c r="A160" s="18"/>
      <c r="B160" s="18"/>
      <c r="C160" s="18"/>
      <c r="D160" s="4"/>
      <c r="E160" s="18"/>
      <c r="F160" s="18"/>
      <c r="G160" s="18"/>
      <c r="H160" s="18"/>
      <c r="I160" s="18"/>
      <c r="J160" s="4"/>
      <c r="W160" s="4"/>
      <c r="X160" s="4"/>
      <c r="Y160" s="4"/>
      <c r="Z160" s="4"/>
      <c r="AA160" s="4"/>
      <c r="AB160" s="4"/>
    </row>
    <row r="161" spans="1:28" ht="12.75">
      <c r="A161" s="18"/>
      <c r="B161" s="18"/>
      <c r="C161" s="18"/>
      <c r="D161" s="4"/>
      <c r="E161" s="18"/>
      <c r="F161" s="18"/>
      <c r="G161" s="18"/>
      <c r="H161" s="18"/>
      <c r="I161" s="18"/>
      <c r="J161" s="4"/>
      <c r="W161" s="4"/>
      <c r="X161" s="4"/>
      <c r="Y161" s="4"/>
      <c r="Z161" s="4"/>
      <c r="AA161" s="4"/>
      <c r="AB161" s="4"/>
    </row>
    <row r="162" spans="1:28" ht="12.75">
      <c r="A162" s="18"/>
      <c r="B162" s="18"/>
      <c r="C162" s="18"/>
      <c r="D162" s="4"/>
      <c r="E162" s="18"/>
      <c r="F162" s="18"/>
      <c r="G162" s="18"/>
      <c r="H162" s="18"/>
      <c r="I162" s="18"/>
      <c r="J162" s="4"/>
      <c r="W162" s="4"/>
      <c r="X162" s="4"/>
      <c r="Y162" s="4"/>
      <c r="Z162" s="4"/>
      <c r="AA162" s="4"/>
      <c r="AB162" s="4"/>
    </row>
    <row r="163" spans="1:28" ht="12.75">
      <c r="A163" s="18"/>
      <c r="B163" s="18"/>
      <c r="C163" s="18"/>
      <c r="D163" s="4"/>
      <c r="E163" s="18"/>
      <c r="F163" s="18"/>
      <c r="G163" s="18"/>
      <c r="H163" s="18"/>
      <c r="I163" s="18"/>
      <c r="J163" s="4"/>
      <c r="W163" s="4"/>
      <c r="X163" s="4"/>
      <c r="Y163" s="4"/>
      <c r="Z163" s="4"/>
      <c r="AA163" s="4"/>
      <c r="AB163" s="4"/>
    </row>
    <row r="164" spans="1:28" ht="12.75">
      <c r="A164" s="18"/>
      <c r="B164" s="18"/>
      <c r="C164" s="18"/>
      <c r="D164" s="4"/>
      <c r="E164" s="18"/>
      <c r="F164" s="18"/>
      <c r="G164" s="18"/>
      <c r="H164" s="18"/>
      <c r="I164" s="18"/>
      <c r="J164" s="4"/>
      <c r="W164" s="4"/>
      <c r="X164" s="4"/>
      <c r="Y164" s="4"/>
      <c r="Z164" s="4"/>
      <c r="AA164" s="4"/>
      <c r="AB164" s="4"/>
    </row>
    <row r="165" spans="1:28" ht="12.75">
      <c r="A165" s="18"/>
      <c r="B165" s="18"/>
      <c r="C165" s="18"/>
      <c r="D165" s="4"/>
      <c r="E165" s="18"/>
      <c r="F165" s="18"/>
      <c r="G165" s="18"/>
      <c r="H165" s="18"/>
      <c r="I165" s="18"/>
      <c r="J165" s="4"/>
      <c r="W165" s="4"/>
      <c r="X165" s="4"/>
      <c r="Y165" s="4"/>
      <c r="Z165" s="4"/>
      <c r="AA165" s="4"/>
      <c r="AB165" s="4"/>
    </row>
    <row r="166" spans="1:28" ht="12.75">
      <c r="A166" s="18"/>
      <c r="B166" s="18"/>
      <c r="C166" s="18"/>
      <c r="D166" s="4"/>
      <c r="E166" s="18"/>
      <c r="F166" s="18"/>
      <c r="G166" s="18"/>
      <c r="H166" s="18"/>
      <c r="I166" s="18"/>
      <c r="J166" s="4"/>
      <c r="W166" s="4"/>
      <c r="X166" s="4"/>
      <c r="Y166" s="4"/>
      <c r="Z166" s="4"/>
      <c r="AA166" s="4"/>
      <c r="AB166" s="4"/>
    </row>
    <row r="167" spans="1:28" ht="12.75">
      <c r="A167" s="18"/>
      <c r="B167" s="18"/>
      <c r="C167" s="18"/>
      <c r="D167" s="4"/>
      <c r="E167" s="18"/>
      <c r="F167" s="18"/>
      <c r="G167" s="18"/>
      <c r="H167" s="18"/>
      <c r="I167" s="18"/>
      <c r="J167" s="4"/>
      <c r="W167" s="4"/>
      <c r="X167" s="4"/>
      <c r="Y167" s="4"/>
      <c r="Z167" s="4"/>
      <c r="AA167" s="4"/>
      <c r="AB167" s="4"/>
    </row>
    <row r="168" spans="1:28" ht="12.75">
      <c r="A168" s="18"/>
      <c r="B168" s="18"/>
      <c r="C168" s="18"/>
      <c r="D168" s="4"/>
      <c r="E168" s="18"/>
      <c r="F168" s="18"/>
      <c r="G168" s="18"/>
      <c r="H168" s="18"/>
      <c r="I168" s="18"/>
      <c r="J168" s="4"/>
      <c r="W168" s="4"/>
      <c r="X168" s="4"/>
      <c r="Y168" s="4"/>
      <c r="Z168" s="4"/>
      <c r="AA168" s="4"/>
      <c r="AB168" s="4"/>
    </row>
    <row r="169" spans="1:28" ht="12.75">
      <c r="A169" s="18"/>
      <c r="B169" s="18"/>
      <c r="C169" s="18"/>
      <c r="D169" s="4"/>
      <c r="E169" s="18"/>
      <c r="F169" s="18"/>
      <c r="G169" s="18"/>
      <c r="H169" s="18"/>
      <c r="I169" s="18"/>
      <c r="J169" s="4"/>
      <c r="W169" s="4"/>
      <c r="X169" s="4"/>
      <c r="Y169" s="4"/>
      <c r="Z169" s="4"/>
      <c r="AA169" s="4"/>
      <c r="AB169" s="4"/>
    </row>
    <row r="170" spans="1:28" ht="12.75">
      <c r="A170" s="18"/>
      <c r="B170" s="18"/>
      <c r="C170" s="18"/>
      <c r="D170" s="4"/>
      <c r="E170" s="18"/>
      <c r="F170" s="18"/>
      <c r="G170" s="18"/>
      <c r="H170" s="18"/>
      <c r="I170" s="18"/>
      <c r="J170" s="4"/>
      <c r="W170" s="4"/>
      <c r="X170" s="4"/>
      <c r="Y170" s="4"/>
      <c r="Z170" s="4"/>
      <c r="AA170" s="4"/>
      <c r="AB170" s="4"/>
    </row>
    <row r="171" spans="1:28" ht="12.75">
      <c r="A171" s="18"/>
      <c r="B171" s="18"/>
      <c r="C171" s="18"/>
      <c r="D171" s="4"/>
      <c r="E171" s="18"/>
      <c r="F171" s="18"/>
      <c r="G171" s="18"/>
      <c r="H171" s="18"/>
      <c r="I171" s="18"/>
      <c r="J171" s="4"/>
      <c r="W171" s="4"/>
      <c r="X171" s="4"/>
      <c r="Y171" s="4"/>
      <c r="Z171" s="4"/>
      <c r="AA171" s="4"/>
      <c r="AB171" s="4"/>
    </row>
    <row r="172" spans="1:28" ht="12.75">
      <c r="A172" s="18"/>
      <c r="B172" s="18"/>
      <c r="C172" s="18"/>
      <c r="D172" s="4"/>
      <c r="E172" s="18"/>
      <c r="F172" s="18"/>
      <c r="G172" s="18"/>
      <c r="H172" s="18"/>
      <c r="I172" s="18"/>
      <c r="J172" s="4"/>
      <c r="W172" s="4"/>
      <c r="X172" s="4"/>
      <c r="Y172" s="4"/>
      <c r="Z172" s="4"/>
      <c r="AA172" s="4"/>
      <c r="AB172" s="4"/>
    </row>
    <row r="173" spans="1:28" ht="12.75">
      <c r="A173" s="18"/>
      <c r="B173" s="18"/>
      <c r="C173" s="18"/>
      <c r="D173" s="4"/>
      <c r="E173" s="18"/>
      <c r="F173" s="18"/>
      <c r="G173" s="18"/>
      <c r="H173" s="18"/>
      <c r="I173" s="18"/>
      <c r="J173" s="4"/>
      <c r="W173" s="4"/>
      <c r="X173" s="4"/>
      <c r="Y173" s="4"/>
      <c r="Z173" s="4"/>
      <c r="AA173" s="4"/>
      <c r="AB173" s="4"/>
    </row>
    <row r="174" spans="1:28" ht="12.75">
      <c r="A174" s="18"/>
      <c r="B174" s="18"/>
      <c r="C174" s="18"/>
      <c r="D174" s="4"/>
      <c r="E174" s="18"/>
      <c r="F174" s="18"/>
      <c r="G174" s="18"/>
      <c r="H174" s="18"/>
      <c r="I174" s="18"/>
      <c r="J174" s="4"/>
      <c r="W174" s="4"/>
      <c r="X174" s="4"/>
      <c r="Y174" s="4"/>
      <c r="Z174" s="4"/>
      <c r="AA174" s="4"/>
      <c r="AB174" s="4"/>
    </row>
    <row r="175" spans="1:28" ht="12.75">
      <c r="A175" s="18"/>
      <c r="B175" s="18"/>
      <c r="C175" s="18"/>
      <c r="D175" s="4"/>
      <c r="E175" s="18"/>
      <c r="F175" s="18"/>
      <c r="G175" s="18"/>
      <c r="H175" s="18"/>
      <c r="I175" s="18"/>
      <c r="J175" s="4"/>
      <c r="W175" s="4"/>
      <c r="X175" s="4"/>
      <c r="Y175" s="4"/>
      <c r="Z175" s="4"/>
      <c r="AA175" s="4"/>
      <c r="AB175" s="4"/>
    </row>
    <row r="176" spans="1:28" ht="12.75">
      <c r="A176" s="18"/>
      <c r="B176" s="18"/>
      <c r="C176" s="18"/>
      <c r="D176" s="4"/>
      <c r="E176" s="18"/>
      <c r="F176" s="18"/>
      <c r="G176" s="18"/>
      <c r="H176" s="18"/>
      <c r="I176" s="18"/>
      <c r="J176" s="4"/>
      <c r="W176" s="4"/>
      <c r="X176" s="4"/>
      <c r="Y176" s="4"/>
      <c r="Z176" s="4"/>
      <c r="AA176" s="4"/>
      <c r="AB176" s="4"/>
    </row>
    <row r="177" spans="1:28" ht="12.75">
      <c r="A177" s="18"/>
      <c r="B177" s="18"/>
      <c r="C177" s="18"/>
      <c r="D177" s="4"/>
      <c r="E177" s="18"/>
      <c r="F177" s="18"/>
      <c r="G177" s="18"/>
      <c r="H177" s="18"/>
      <c r="I177" s="18"/>
      <c r="J177" s="4"/>
      <c r="W177" s="4"/>
      <c r="X177" s="4"/>
      <c r="Y177" s="4"/>
      <c r="Z177" s="4"/>
      <c r="AA177" s="4"/>
      <c r="AB177" s="4"/>
    </row>
    <row r="178" spans="1:28" ht="12.75">
      <c r="A178" s="18"/>
      <c r="B178" s="18"/>
      <c r="C178" s="18"/>
      <c r="D178" s="4"/>
      <c r="E178" s="18"/>
      <c r="F178" s="18"/>
      <c r="G178" s="18"/>
      <c r="H178" s="18"/>
      <c r="I178" s="18"/>
      <c r="J178" s="4"/>
      <c r="W178" s="4"/>
      <c r="X178" s="4"/>
      <c r="Y178" s="4"/>
      <c r="Z178" s="4"/>
      <c r="AA178" s="4"/>
      <c r="AB178" s="4"/>
    </row>
    <row r="179" spans="1:28" ht="12.75">
      <c r="A179" s="18"/>
      <c r="B179" s="18"/>
      <c r="C179" s="18"/>
      <c r="D179" s="4"/>
      <c r="E179" s="18"/>
      <c r="F179" s="18"/>
      <c r="G179" s="18"/>
      <c r="H179" s="18"/>
      <c r="I179" s="18"/>
      <c r="J179" s="4"/>
      <c r="W179" s="4"/>
      <c r="X179" s="4"/>
      <c r="Y179" s="4"/>
      <c r="Z179" s="4"/>
      <c r="AA179" s="4"/>
      <c r="AB179" s="4"/>
    </row>
    <row r="180" spans="1:28" ht="12.75">
      <c r="A180" s="18"/>
      <c r="B180" s="18"/>
      <c r="C180" s="18"/>
      <c r="D180" s="4"/>
      <c r="E180" s="18"/>
      <c r="F180" s="18"/>
      <c r="G180" s="18"/>
      <c r="H180" s="18"/>
      <c r="I180" s="18"/>
      <c r="J180" s="4"/>
      <c r="W180" s="4"/>
      <c r="X180" s="4"/>
      <c r="Y180" s="4"/>
      <c r="Z180" s="4"/>
      <c r="AA180" s="4"/>
      <c r="AB180" s="4"/>
    </row>
    <row r="181" spans="1:28" ht="12.75">
      <c r="A181" s="18"/>
      <c r="B181" s="18"/>
      <c r="C181" s="18"/>
      <c r="D181" s="4"/>
      <c r="E181" s="18"/>
      <c r="F181" s="18"/>
      <c r="G181" s="18"/>
      <c r="H181" s="18"/>
      <c r="I181" s="18"/>
      <c r="J181" s="4"/>
      <c r="W181" s="4"/>
      <c r="X181" s="4"/>
      <c r="Y181" s="4"/>
      <c r="Z181" s="4"/>
      <c r="AA181" s="4"/>
      <c r="AB181" s="4"/>
    </row>
    <row r="182" spans="1:28" ht="12.75">
      <c r="A182" s="18"/>
      <c r="B182" s="18"/>
      <c r="C182" s="18"/>
      <c r="D182" s="4"/>
      <c r="E182" s="18"/>
      <c r="F182" s="18"/>
      <c r="G182" s="18"/>
      <c r="H182" s="18"/>
      <c r="I182" s="18"/>
      <c r="J182" s="4"/>
      <c r="W182" s="4"/>
      <c r="X182" s="4"/>
      <c r="Y182" s="4"/>
      <c r="Z182" s="4"/>
      <c r="AA182" s="4"/>
      <c r="AB182" s="4"/>
    </row>
    <row r="183" spans="1:28" ht="12.75">
      <c r="A183" s="18"/>
      <c r="B183" s="18"/>
      <c r="C183" s="18"/>
      <c r="D183" s="4"/>
      <c r="E183" s="18"/>
      <c r="F183" s="18"/>
      <c r="G183" s="18"/>
      <c r="H183" s="18"/>
      <c r="I183" s="18"/>
      <c r="J183" s="4"/>
      <c r="W183" s="4"/>
      <c r="X183" s="4"/>
      <c r="Y183" s="4"/>
      <c r="Z183" s="4"/>
      <c r="AA183" s="4"/>
      <c r="AB183" s="4"/>
    </row>
    <row r="184" spans="1:28" ht="12.75">
      <c r="A184" s="18"/>
      <c r="B184" s="18"/>
      <c r="C184" s="18"/>
      <c r="D184" s="4"/>
      <c r="E184" s="18"/>
      <c r="F184" s="18"/>
      <c r="G184" s="18"/>
      <c r="H184" s="18"/>
      <c r="I184" s="18"/>
      <c r="J184" s="4"/>
      <c r="W184" s="4"/>
      <c r="X184" s="4"/>
      <c r="Y184" s="4"/>
      <c r="Z184" s="4"/>
      <c r="AA184" s="4"/>
      <c r="AB184" s="4"/>
    </row>
    <row r="185" spans="1:28" ht="12.75">
      <c r="A185" s="18"/>
      <c r="B185" s="18"/>
      <c r="C185" s="18"/>
      <c r="D185" s="4"/>
      <c r="E185" s="18"/>
      <c r="F185" s="18"/>
      <c r="G185" s="18"/>
      <c r="H185" s="18"/>
      <c r="I185" s="18"/>
      <c r="J185" s="4"/>
      <c r="W185" s="4"/>
      <c r="X185" s="4"/>
      <c r="Y185" s="4"/>
      <c r="Z185" s="4"/>
      <c r="AA185" s="4"/>
      <c r="AB185" s="4"/>
    </row>
    <row r="186" spans="1:28" ht="12.75">
      <c r="A186" s="18"/>
      <c r="B186" s="18"/>
      <c r="C186" s="18"/>
      <c r="D186" s="4"/>
      <c r="E186" s="18"/>
      <c r="F186" s="18"/>
      <c r="G186" s="18"/>
      <c r="H186" s="18"/>
      <c r="I186" s="18"/>
      <c r="J186" s="4"/>
      <c r="W186" s="4"/>
      <c r="X186" s="4"/>
      <c r="Y186" s="4"/>
      <c r="Z186" s="4"/>
      <c r="AA186" s="4"/>
      <c r="AB186" s="4"/>
    </row>
    <row r="187" spans="1:28" ht="12.75">
      <c r="A187" s="18"/>
      <c r="B187" s="18"/>
      <c r="C187" s="18"/>
      <c r="D187" s="4"/>
      <c r="E187" s="18"/>
      <c r="F187" s="18"/>
      <c r="G187" s="18"/>
      <c r="H187" s="18"/>
      <c r="I187" s="18"/>
      <c r="J187" s="4"/>
      <c r="W187" s="4"/>
      <c r="X187" s="4"/>
      <c r="Y187" s="4"/>
      <c r="Z187" s="4"/>
      <c r="AA187" s="4"/>
      <c r="AB187" s="4"/>
    </row>
    <row r="188" spans="1:28" ht="12.75">
      <c r="A188" s="18"/>
      <c r="B188" s="18"/>
      <c r="C188" s="18"/>
      <c r="D188" s="4"/>
      <c r="E188" s="18"/>
      <c r="F188" s="18"/>
      <c r="G188" s="18"/>
      <c r="H188" s="18"/>
      <c r="I188" s="18"/>
      <c r="J188" s="4"/>
      <c r="W188" s="4"/>
      <c r="X188" s="4"/>
      <c r="Y188" s="4"/>
      <c r="Z188" s="4"/>
      <c r="AA188" s="4"/>
      <c r="AB188" s="4"/>
    </row>
    <row r="189" spans="1:28" ht="12.75">
      <c r="A189" s="18"/>
      <c r="B189" s="18"/>
      <c r="C189" s="18"/>
      <c r="D189" s="4"/>
      <c r="E189" s="18"/>
      <c r="F189" s="18"/>
      <c r="G189" s="18"/>
      <c r="H189" s="18"/>
      <c r="I189" s="18"/>
      <c r="J189" s="4"/>
      <c r="W189" s="4"/>
      <c r="X189" s="4"/>
      <c r="Y189" s="4"/>
      <c r="Z189" s="4"/>
      <c r="AA189" s="4"/>
      <c r="AB189" s="4"/>
    </row>
    <row r="190" spans="1:28" ht="12.75">
      <c r="A190" s="18"/>
      <c r="B190" s="18"/>
      <c r="C190" s="18"/>
      <c r="D190" s="4"/>
      <c r="E190" s="18"/>
      <c r="F190" s="18"/>
      <c r="G190" s="18"/>
      <c r="H190" s="18"/>
      <c r="I190" s="18"/>
      <c r="J190" s="4"/>
      <c r="W190" s="4"/>
      <c r="X190" s="4"/>
      <c r="Y190" s="4"/>
      <c r="Z190" s="4"/>
      <c r="AA190" s="4"/>
      <c r="AB190" s="4"/>
    </row>
    <row r="191" spans="1:28" ht="12.75">
      <c r="A191" s="18"/>
      <c r="B191" s="18"/>
      <c r="C191" s="18"/>
      <c r="D191" s="4"/>
      <c r="E191" s="18"/>
      <c r="F191" s="18"/>
      <c r="G191" s="18"/>
      <c r="H191" s="18"/>
      <c r="I191" s="18"/>
      <c r="J191" s="4"/>
      <c r="W191" s="4"/>
      <c r="X191" s="4"/>
      <c r="Y191" s="4"/>
      <c r="Z191" s="4"/>
      <c r="AA191" s="4"/>
      <c r="AB191" s="4"/>
    </row>
    <row r="192" spans="1:28" ht="12.75">
      <c r="A192" s="18"/>
      <c r="B192" s="18"/>
      <c r="C192" s="18"/>
      <c r="D192" s="4"/>
      <c r="E192" s="18"/>
      <c r="F192" s="18"/>
      <c r="G192" s="18"/>
      <c r="H192" s="18"/>
      <c r="I192" s="18"/>
      <c r="J192" s="4"/>
      <c r="W192" s="4"/>
      <c r="X192" s="4"/>
      <c r="Y192" s="4"/>
      <c r="Z192" s="4"/>
      <c r="AA192" s="4"/>
      <c r="AB192" s="4"/>
    </row>
    <row r="193" spans="1:28" ht="12.75">
      <c r="A193" s="18"/>
      <c r="B193" s="18"/>
      <c r="C193" s="18"/>
      <c r="D193" s="4"/>
      <c r="E193" s="18"/>
      <c r="F193" s="18"/>
      <c r="G193" s="18"/>
      <c r="H193" s="18"/>
      <c r="I193" s="18"/>
      <c r="J193" s="4"/>
      <c r="W193" s="4"/>
      <c r="X193" s="4"/>
      <c r="Y193" s="4"/>
      <c r="Z193" s="4"/>
      <c r="AA193" s="4"/>
      <c r="AB193" s="4"/>
    </row>
    <row r="194" spans="1:28" ht="12.75">
      <c r="A194" s="18"/>
      <c r="B194" s="18"/>
      <c r="C194" s="18"/>
      <c r="D194" s="4"/>
      <c r="E194" s="18"/>
      <c r="F194" s="18"/>
      <c r="G194" s="18"/>
      <c r="H194" s="18"/>
      <c r="I194" s="18"/>
      <c r="J194" s="4"/>
      <c r="W194" s="4"/>
      <c r="X194" s="4"/>
      <c r="Y194" s="4"/>
      <c r="Z194" s="4"/>
      <c r="AA194" s="4"/>
      <c r="AB194" s="4"/>
    </row>
    <row r="195" spans="1:28" ht="12.75">
      <c r="A195" s="18"/>
      <c r="B195" s="18"/>
      <c r="C195" s="18"/>
      <c r="D195" s="4"/>
      <c r="E195" s="18"/>
      <c r="F195" s="18"/>
      <c r="G195" s="18"/>
      <c r="H195" s="18"/>
      <c r="I195" s="18"/>
      <c r="J195" s="4"/>
      <c r="W195" s="4"/>
      <c r="X195" s="4"/>
      <c r="Y195" s="4"/>
      <c r="Z195" s="4"/>
      <c r="AA195" s="4"/>
      <c r="AB195" s="4"/>
    </row>
    <row r="196" spans="1:28" ht="12.75">
      <c r="A196" s="18"/>
      <c r="B196" s="18"/>
      <c r="C196" s="18"/>
      <c r="D196" s="4"/>
      <c r="E196" s="18"/>
      <c r="F196" s="18"/>
      <c r="G196" s="18"/>
      <c r="H196" s="18"/>
      <c r="I196" s="18"/>
      <c r="J196" s="4"/>
      <c r="W196" s="4"/>
      <c r="X196" s="4"/>
      <c r="Y196" s="4"/>
      <c r="Z196" s="4"/>
      <c r="AA196" s="4"/>
      <c r="AB196" s="4"/>
    </row>
    <row r="197" spans="1:28" ht="12.75">
      <c r="A197" s="18"/>
      <c r="B197" s="18"/>
      <c r="C197" s="18"/>
      <c r="D197" s="4"/>
      <c r="E197" s="18"/>
      <c r="F197" s="18"/>
      <c r="G197" s="18"/>
      <c r="H197" s="18"/>
      <c r="I197" s="18"/>
      <c r="J197" s="4"/>
      <c r="W197" s="4"/>
      <c r="X197" s="4"/>
      <c r="Y197" s="4"/>
      <c r="Z197" s="4"/>
      <c r="AA197" s="4"/>
      <c r="AB197" s="4"/>
    </row>
    <row r="198" spans="1:28" ht="12.75">
      <c r="A198" s="18"/>
      <c r="B198" s="18"/>
      <c r="C198" s="18"/>
      <c r="D198" s="4"/>
      <c r="E198" s="18"/>
      <c r="F198" s="18"/>
      <c r="G198" s="18"/>
      <c r="H198" s="18"/>
      <c r="I198" s="18"/>
      <c r="J198" s="4"/>
      <c r="W198" s="4"/>
      <c r="X198" s="4"/>
      <c r="Y198" s="4"/>
      <c r="Z198" s="4"/>
      <c r="AA198" s="4"/>
      <c r="AB198" s="4"/>
    </row>
    <row r="199" spans="1:28" ht="12.75">
      <c r="A199" s="18"/>
      <c r="B199" s="18"/>
      <c r="C199" s="18"/>
      <c r="D199" s="4"/>
      <c r="E199" s="18"/>
      <c r="F199" s="18"/>
      <c r="G199" s="18"/>
      <c r="H199" s="18"/>
      <c r="I199" s="18"/>
      <c r="J199" s="4"/>
      <c r="W199" s="4"/>
      <c r="X199" s="4"/>
      <c r="Y199" s="4"/>
      <c r="Z199" s="4"/>
      <c r="AA199" s="4"/>
      <c r="AB199" s="4"/>
    </row>
    <row r="200" spans="1:28" ht="12.75">
      <c r="A200" s="18"/>
      <c r="B200" s="18"/>
      <c r="C200" s="18"/>
      <c r="D200" s="4"/>
      <c r="E200" s="18"/>
      <c r="F200" s="18"/>
      <c r="G200" s="18"/>
      <c r="H200" s="18"/>
      <c r="I200" s="18"/>
      <c r="J200" s="4"/>
      <c r="W200" s="4"/>
      <c r="X200" s="4"/>
      <c r="Y200" s="4"/>
      <c r="Z200" s="4"/>
      <c r="AA200" s="4"/>
      <c r="AB200" s="4"/>
    </row>
    <row r="201" spans="1:28" ht="12.75">
      <c r="A201" s="18"/>
      <c r="B201" s="18"/>
      <c r="C201" s="18"/>
      <c r="D201" s="4"/>
      <c r="E201" s="18"/>
      <c r="F201" s="18"/>
      <c r="G201" s="18"/>
      <c r="H201" s="18"/>
      <c r="I201" s="18"/>
      <c r="J201" s="4"/>
      <c r="W201" s="4"/>
      <c r="X201" s="4"/>
      <c r="Y201" s="4"/>
      <c r="Z201" s="4"/>
      <c r="AA201" s="4"/>
      <c r="AB201" s="4"/>
    </row>
    <row r="202" spans="1:28" ht="12.75">
      <c r="A202" s="18"/>
      <c r="B202" s="18"/>
      <c r="C202" s="18"/>
      <c r="D202" s="4"/>
      <c r="E202" s="18"/>
      <c r="F202" s="18"/>
      <c r="G202" s="18"/>
      <c r="H202" s="18"/>
      <c r="I202" s="18"/>
      <c r="J202" s="4"/>
      <c r="W202" s="4"/>
      <c r="X202" s="4"/>
      <c r="Y202" s="4"/>
      <c r="Z202" s="4"/>
      <c r="AA202" s="4"/>
      <c r="AB202" s="4"/>
    </row>
    <row r="203" spans="1:28" ht="12.75">
      <c r="A203" s="18"/>
      <c r="B203" s="18"/>
      <c r="C203" s="18"/>
      <c r="D203" s="4"/>
      <c r="E203" s="18"/>
      <c r="F203" s="18"/>
      <c r="G203" s="18"/>
      <c r="H203" s="18"/>
      <c r="I203" s="18"/>
      <c r="J203" s="4"/>
      <c r="W203" s="4"/>
      <c r="X203" s="4"/>
      <c r="Y203" s="4"/>
      <c r="Z203" s="4"/>
      <c r="AA203" s="4"/>
      <c r="AB203" s="4"/>
    </row>
    <row r="204" spans="1:28" ht="12.75">
      <c r="A204" s="18"/>
      <c r="B204" s="18"/>
      <c r="C204" s="18"/>
      <c r="D204" s="4"/>
      <c r="E204" s="18"/>
      <c r="F204" s="18"/>
      <c r="G204" s="18"/>
      <c r="H204" s="18"/>
      <c r="I204" s="18"/>
      <c r="J204" s="4"/>
      <c r="W204" s="4"/>
      <c r="X204" s="4"/>
      <c r="Y204" s="4"/>
      <c r="Z204" s="4"/>
      <c r="AA204" s="4"/>
      <c r="AB204" s="4"/>
    </row>
    <row r="205" spans="1:28" ht="12.75">
      <c r="A205" s="18"/>
      <c r="B205" s="18"/>
      <c r="C205" s="18"/>
      <c r="D205" s="4"/>
      <c r="E205" s="18"/>
      <c r="F205" s="18"/>
      <c r="G205" s="18"/>
      <c r="H205" s="18"/>
      <c r="I205" s="18"/>
      <c r="J205" s="4"/>
      <c r="W205" s="4"/>
      <c r="X205" s="4"/>
      <c r="Y205" s="4"/>
      <c r="Z205" s="4"/>
      <c r="AA205" s="4"/>
      <c r="AB205" s="4"/>
    </row>
    <row r="206" spans="1:28" ht="12.75">
      <c r="A206" s="18"/>
      <c r="B206" s="18"/>
      <c r="C206" s="18"/>
      <c r="D206" s="4"/>
      <c r="E206" s="18"/>
      <c r="F206" s="18"/>
      <c r="G206" s="18"/>
      <c r="H206" s="18"/>
      <c r="I206" s="18"/>
      <c r="J206" s="4"/>
      <c r="W206" s="4"/>
      <c r="X206" s="4"/>
      <c r="Y206" s="4"/>
      <c r="Z206" s="4"/>
      <c r="AA206" s="4"/>
      <c r="AB206" s="4"/>
    </row>
    <row r="207" spans="1:28" ht="12.75">
      <c r="A207" s="18"/>
      <c r="B207" s="18"/>
      <c r="C207" s="18"/>
      <c r="D207" s="4"/>
      <c r="E207" s="18"/>
      <c r="F207" s="18"/>
      <c r="G207" s="18"/>
      <c r="H207" s="18"/>
      <c r="I207" s="18"/>
      <c r="J207" s="4"/>
      <c r="W207" s="4"/>
      <c r="X207" s="4"/>
      <c r="Y207" s="4"/>
      <c r="Z207" s="4"/>
      <c r="AA207" s="4"/>
      <c r="AB207" s="4"/>
    </row>
    <row r="208" spans="1:28" ht="12.75">
      <c r="A208" s="18"/>
      <c r="B208" s="18"/>
      <c r="C208" s="18"/>
      <c r="D208" s="4"/>
      <c r="E208" s="18"/>
      <c r="F208" s="18"/>
      <c r="G208" s="18"/>
      <c r="H208" s="18"/>
      <c r="I208" s="18"/>
      <c r="J208" s="4"/>
      <c r="W208" s="4"/>
      <c r="X208" s="4"/>
      <c r="Y208" s="4"/>
      <c r="Z208" s="4"/>
      <c r="AA208" s="4"/>
      <c r="AB208" s="4"/>
    </row>
    <row r="209" spans="1:28" ht="12.75">
      <c r="A209" s="18"/>
      <c r="B209" s="18"/>
      <c r="C209" s="18"/>
      <c r="D209" s="4"/>
      <c r="E209" s="18"/>
      <c r="F209" s="18"/>
      <c r="G209" s="18"/>
      <c r="H209" s="18"/>
      <c r="I209" s="18"/>
      <c r="J209" s="4"/>
      <c r="W209" s="4"/>
      <c r="X209" s="4"/>
      <c r="Y209" s="4"/>
      <c r="Z209" s="4"/>
      <c r="AA209" s="4"/>
      <c r="AB209" s="4"/>
    </row>
    <row r="210" spans="1:28" ht="12.75">
      <c r="A210" s="18"/>
      <c r="B210" s="18"/>
      <c r="C210" s="18"/>
      <c r="D210" s="4"/>
      <c r="E210" s="18"/>
      <c r="F210" s="18"/>
      <c r="G210" s="18"/>
      <c r="H210" s="18"/>
      <c r="I210" s="18"/>
      <c r="J210" s="4"/>
      <c r="W210" s="4"/>
      <c r="X210" s="4"/>
      <c r="Y210" s="4"/>
      <c r="Z210" s="4"/>
      <c r="AA210" s="4"/>
      <c r="AB210" s="4"/>
    </row>
    <row r="211" spans="1:28" ht="12.75">
      <c r="A211" s="18"/>
      <c r="B211" s="18"/>
      <c r="C211" s="18"/>
      <c r="D211" s="4"/>
      <c r="E211" s="18"/>
      <c r="F211" s="18"/>
      <c r="G211" s="18"/>
      <c r="H211" s="18"/>
      <c r="I211" s="18"/>
      <c r="J211" s="4"/>
      <c r="W211" s="4"/>
      <c r="X211" s="4"/>
      <c r="Y211" s="4"/>
      <c r="Z211" s="4"/>
      <c r="AA211" s="4"/>
      <c r="AB211" s="4"/>
    </row>
    <row r="212" spans="1:28" ht="12.75">
      <c r="A212" s="18"/>
      <c r="B212" s="18"/>
      <c r="C212" s="18"/>
      <c r="D212" s="4"/>
      <c r="E212" s="18"/>
      <c r="F212" s="18"/>
      <c r="G212" s="18"/>
      <c r="H212" s="18"/>
      <c r="I212" s="18"/>
      <c r="J212" s="4"/>
      <c r="W212" s="4"/>
      <c r="X212" s="4"/>
      <c r="Y212" s="4"/>
      <c r="Z212" s="4"/>
      <c r="AA212" s="4"/>
      <c r="AB212" s="4"/>
    </row>
    <row r="213" spans="1:28" ht="12.75">
      <c r="A213" s="18"/>
      <c r="B213" s="18"/>
      <c r="C213" s="18"/>
      <c r="D213" s="4"/>
      <c r="E213" s="18"/>
      <c r="F213" s="18"/>
      <c r="G213" s="18"/>
      <c r="H213" s="18"/>
      <c r="I213" s="18"/>
      <c r="J213" s="4"/>
      <c r="W213" s="4"/>
      <c r="X213" s="4"/>
      <c r="Y213" s="4"/>
      <c r="Z213" s="4"/>
      <c r="AA213" s="4"/>
      <c r="AB213" s="4"/>
    </row>
    <row r="214" spans="1:28" ht="12.75">
      <c r="A214" s="18"/>
      <c r="B214" s="18"/>
      <c r="C214" s="18"/>
      <c r="D214" s="4"/>
      <c r="E214" s="18"/>
      <c r="F214" s="18"/>
      <c r="G214" s="18"/>
      <c r="H214" s="18"/>
      <c r="I214" s="18"/>
      <c r="J214" s="4"/>
      <c r="W214" s="4"/>
      <c r="X214" s="4"/>
      <c r="Y214" s="4"/>
      <c r="Z214" s="4"/>
      <c r="AA214" s="4"/>
      <c r="AB214" s="4"/>
    </row>
    <row r="215" spans="1:28" ht="12.75">
      <c r="A215" s="18"/>
      <c r="B215" s="18"/>
      <c r="C215" s="18"/>
      <c r="D215" s="4"/>
      <c r="E215" s="18"/>
      <c r="F215" s="18"/>
      <c r="G215" s="18"/>
      <c r="H215" s="18"/>
      <c r="I215" s="18"/>
      <c r="J215" s="4"/>
      <c r="W215" s="4"/>
      <c r="X215" s="4"/>
      <c r="Y215" s="4"/>
      <c r="Z215" s="4"/>
      <c r="AA215" s="4"/>
      <c r="AB215" s="4"/>
    </row>
    <row r="216" spans="1:28" ht="12.75">
      <c r="A216" s="18"/>
      <c r="B216" s="18"/>
      <c r="C216" s="18"/>
      <c r="D216" s="4"/>
      <c r="E216" s="18"/>
      <c r="F216" s="18"/>
      <c r="G216" s="18"/>
      <c r="H216" s="18"/>
      <c r="I216" s="18"/>
      <c r="J216" s="4"/>
      <c r="W216" s="4"/>
      <c r="X216" s="4"/>
      <c r="Y216" s="4"/>
      <c r="Z216" s="4"/>
      <c r="AA216" s="4"/>
      <c r="AB216" s="4"/>
    </row>
    <row r="217" spans="1:28" ht="12.75">
      <c r="A217" s="18"/>
      <c r="B217" s="18"/>
      <c r="C217" s="18"/>
      <c r="D217" s="4"/>
      <c r="E217" s="18"/>
      <c r="F217" s="18"/>
      <c r="G217" s="18"/>
      <c r="H217" s="18"/>
      <c r="I217" s="18"/>
      <c r="J217" s="4"/>
      <c r="W217" s="4"/>
      <c r="X217" s="4"/>
      <c r="Y217" s="4"/>
      <c r="Z217" s="4"/>
      <c r="AA217" s="4"/>
      <c r="AB217" s="4"/>
    </row>
    <row r="218" spans="1:28" ht="12.75">
      <c r="A218" s="18"/>
      <c r="B218" s="18"/>
      <c r="C218" s="18"/>
      <c r="D218" s="4"/>
      <c r="E218" s="18"/>
      <c r="F218" s="18"/>
      <c r="G218" s="18"/>
      <c r="H218" s="18"/>
      <c r="I218" s="18"/>
      <c r="J218" s="4"/>
      <c r="W218" s="4"/>
      <c r="X218" s="4"/>
      <c r="Y218" s="4"/>
      <c r="Z218" s="4"/>
      <c r="AA218" s="4"/>
      <c r="AB218" s="4"/>
    </row>
    <row r="219" spans="1:28" ht="12.75">
      <c r="A219" s="18"/>
      <c r="B219" s="18"/>
      <c r="C219" s="18"/>
      <c r="D219" s="4"/>
      <c r="E219" s="18"/>
      <c r="F219" s="18"/>
      <c r="G219" s="18"/>
      <c r="H219" s="18"/>
      <c r="I219" s="18"/>
      <c r="J219" s="4"/>
      <c r="W219" s="4"/>
      <c r="X219" s="4"/>
      <c r="Y219" s="4"/>
      <c r="Z219" s="4"/>
      <c r="AA219" s="4"/>
      <c r="AB219" s="4"/>
    </row>
    <row r="220" spans="1:28" ht="12.75">
      <c r="A220" s="18"/>
      <c r="B220" s="18"/>
      <c r="C220" s="18"/>
      <c r="D220" s="4"/>
      <c r="E220" s="18"/>
      <c r="F220" s="18"/>
      <c r="G220" s="18"/>
      <c r="H220" s="18"/>
      <c r="I220" s="18"/>
      <c r="J220" s="4"/>
      <c r="W220" s="4"/>
      <c r="X220" s="4"/>
      <c r="Y220" s="4"/>
      <c r="Z220" s="4"/>
      <c r="AA220" s="4"/>
      <c r="AB220" s="4"/>
    </row>
    <row r="221" spans="1:28" ht="12.75">
      <c r="A221" s="18"/>
      <c r="B221" s="18"/>
      <c r="C221" s="18"/>
      <c r="D221" s="4"/>
      <c r="E221" s="18"/>
      <c r="F221" s="18"/>
      <c r="G221" s="18"/>
      <c r="H221" s="18"/>
      <c r="I221" s="18"/>
      <c r="J221" s="4"/>
      <c r="W221" s="4"/>
      <c r="X221" s="4"/>
      <c r="Y221" s="4"/>
      <c r="Z221" s="4"/>
      <c r="AA221" s="4"/>
      <c r="AB221" s="4"/>
    </row>
    <row r="222" spans="1:28" ht="12.75">
      <c r="A222" s="18"/>
      <c r="B222" s="18"/>
      <c r="C222" s="18"/>
      <c r="D222" s="4"/>
      <c r="E222" s="18"/>
      <c r="F222" s="18"/>
      <c r="G222" s="18"/>
      <c r="H222" s="18"/>
      <c r="I222" s="18"/>
      <c r="J222" s="4"/>
      <c r="W222" s="4"/>
      <c r="X222" s="4"/>
      <c r="Y222" s="4"/>
      <c r="Z222" s="4"/>
      <c r="AA222" s="4"/>
      <c r="AB222" s="4"/>
    </row>
    <row r="223" spans="1:28" ht="12.75">
      <c r="A223" s="18"/>
      <c r="B223" s="18"/>
      <c r="C223" s="18"/>
      <c r="D223" s="4"/>
      <c r="E223" s="18"/>
      <c r="F223" s="18"/>
      <c r="G223" s="18"/>
      <c r="H223" s="18"/>
      <c r="I223" s="18"/>
      <c r="J223" s="4"/>
      <c r="W223" s="4"/>
      <c r="X223" s="4"/>
      <c r="Y223" s="4"/>
      <c r="Z223" s="4"/>
      <c r="AA223" s="4"/>
      <c r="AB223" s="4"/>
    </row>
    <row r="224" spans="1:28" ht="12.75">
      <c r="A224" s="18"/>
      <c r="B224" s="18"/>
      <c r="C224" s="18"/>
      <c r="D224" s="4"/>
      <c r="E224" s="18"/>
      <c r="F224" s="18"/>
      <c r="G224" s="18"/>
      <c r="H224" s="18"/>
      <c r="I224" s="18"/>
      <c r="J224" s="4"/>
      <c r="W224" s="4"/>
      <c r="X224" s="4"/>
      <c r="Y224" s="4"/>
      <c r="Z224" s="4"/>
      <c r="AA224" s="4"/>
      <c r="AB224" s="4"/>
    </row>
    <row r="225" spans="1:28" ht="12.75">
      <c r="A225" s="18"/>
      <c r="B225" s="18"/>
      <c r="C225" s="18"/>
      <c r="D225" s="4"/>
      <c r="E225" s="18"/>
      <c r="F225" s="18"/>
      <c r="G225" s="18"/>
      <c r="H225" s="18"/>
      <c r="I225" s="18"/>
      <c r="J225" s="4"/>
      <c r="W225" s="4"/>
      <c r="X225" s="4"/>
      <c r="Y225" s="4"/>
      <c r="Z225" s="4"/>
      <c r="AA225" s="4"/>
      <c r="AB225" s="4"/>
    </row>
    <row r="226" spans="1:28" ht="12.75">
      <c r="A226" s="18"/>
      <c r="B226" s="18"/>
      <c r="C226" s="18"/>
      <c r="D226" s="4"/>
      <c r="E226" s="18"/>
      <c r="F226" s="18"/>
      <c r="G226" s="18"/>
      <c r="H226" s="18"/>
      <c r="I226" s="18"/>
      <c r="J226" s="4"/>
      <c r="W226" s="4"/>
      <c r="X226" s="4"/>
      <c r="Y226" s="4"/>
      <c r="Z226" s="4"/>
      <c r="AA226" s="4"/>
      <c r="AB226" s="4"/>
    </row>
    <row r="227" spans="1:28" ht="12.75">
      <c r="A227" s="18"/>
      <c r="B227" s="18"/>
      <c r="C227" s="18"/>
      <c r="D227" s="4"/>
      <c r="E227" s="18"/>
      <c r="F227" s="18"/>
      <c r="G227" s="18"/>
      <c r="H227" s="18"/>
      <c r="I227" s="18"/>
      <c r="J227" s="4"/>
      <c r="W227" s="4"/>
      <c r="X227" s="4"/>
      <c r="Y227" s="4"/>
      <c r="Z227" s="4"/>
      <c r="AA227" s="4"/>
      <c r="AB227" s="4"/>
    </row>
    <row r="228" spans="1:28" ht="12.75">
      <c r="A228" s="18"/>
      <c r="B228" s="18"/>
      <c r="C228" s="18"/>
      <c r="D228" s="4"/>
      <c r="E228" s="18"/>
      <c r="F228" s="18"/>
      <c r="G228" s="18"/>
      <c r="H228" s="18"/>
      <c r="I228" s="18"/>
      <c r="J228" s="4"/>
      <c r="W228" s="4"/>
      <c r="X228" s="4"/>
      <c r="Y228" s="4"/>
      <c r="Z228" s="4"/>
      <c r="AA228" s="4"/>
      <c r="AB228" s="4"/>
    </row>
    <row r="229" spans="1:28" ht="12.75">
      <c r="A229" s="18"/>
      <c r="B229" s="18"/>
      <c r="C229" s="18"/>
      <c r="D229" s="4"/>
      <c r="E229" s="18"/>
      <c r="F229" s="18"/>
      <c r="G229" s="18"/>
      <c r="H229" s="18"/>
      <c r="I229" s="18"/>
      <c r="J229" s="4"/>
      <c r="W229" s="4"/>
      <c r="X229" s="4"/>
      <c r="Y229" s="4"/>
      <c r="Z229" s="4"/>
      <c r="AA229" s="4"/>
      <c r="AB229" s="4"/>
    </row>
    <row r="230" spans="1:28" ht="12.75">
      <c r="A230" s="18"/>
      <c r="B230" s="18"/>
      <c r="C230" s="18"/>
      <c r="D230" s="4"/>
      <c r="E230" s="18"/>
      <c r="F230" s="18"/>
      <c r="G230" s="18"/>
      <c r="H230" s="18"/>
      <c r="I230" s="18"/>
      <c r="J230" s="4"/>
      <c r="W230" s="4"/>
      <c r="X230" s="4"/>
      <c r="Y230" s="4"/>
      <c r="Z230" s="4"/>
      <c r="AA230" s="4"/>
      <c r="AB230" s="4"/>
    </row>
    <row r="231" spans="1:28" ht="12.75">
      <c r="A231" s="18"/>
      <c r="B231" s="18"/>
      <c r="C231" s="18"/>
      <c r="D231" s="4"/>
      <c r="E231" s="18"/>
      <c r="F231" s="18"/>
      <c r="G231" s="18"/>
      <c r="H231" s="18"/>
      <c r="I231" s="18"/>
      <c r="J231" s="4"/>
      <c r="W231" s="4"/>
      <c r="X231" s="4"/>
      <c r="Y231" s="4"/>
      <c r="Z231" s="4"/>
      <c r="AA231" s="4"/>
      <c r="AB231" s="4"/>
    </row>
    <row r="232" spans="1:28" ht="12.75">
      <c r="A232" s="18"/>
      <c r="B232" s="18"/>
      <c r="C232" s="18"/>
      <c r="D232" s="4"/>
      <c r="E232" s="18"/>
      <c r="F232" s="18"/>
      <c r="G232" s="18"/>
      <c r="H232" s="18"/>
      <c r="I232" s="18"/>
      <c r="J232" s="4"/>
      <c r="W232" s="4"/>
      <c r="X232" s="4"/>
      <c r="Y232" s="4"/>
      <c r="Z232" s="4"/>
      <c r="AA232" s="4"/>
      <c r="AB232" s="4"/>
    </row>
    <row r="233" spans="1:28" ht="12.75">
      <c r="A233" s="18"/>
      <c r="B233" s="18"/>
      <c r="C233" s="18"/>
      <c r="D233" s="4"/>
      <c r="E233" s="18"/>
      <c r="F233" s="18"/>
      <c r="G233" s="18"/>
      <c r="H233" s="18"/>
      <c r="I233" s="18"/>
      <c r="J233" s="4"/>
      <c r="W233" s="4"/>
      <c r="X233" s="4"/>
      <c r="Y233" s="4"/>
      <c r="Z233" s="4"/>
      <c r="AA233" s="4"/>
      <c r="AB233" s="4"/>
    </row>
    <row r="234" spans="1:28" ht="12.75">
      <c r="A234" s="18"/>
      <c r="B234" s="18"/>
      <c r="C234" s="18"/>
      <c r="D234" s="4"/>
      <c r="E234" s="18"/>
      <c r="F234" s="18"/>
      <c r="G234" s="18"/>
      <c r="H234" s="18"/>
      <c r="I234" s="18"/>
      <c r="J234" s="4"/>
      <c r="W234" s="4"/>
      <c r="X234" s="4"/>
      <c r="Y234" s="4"/>
      <c r="Z234" s="4"/>
      <c r="AA234" s="4"/>
      <c r="AB234" s="4"/>
    </row>
    <row r="235" spans="1:28" ht="12.75">
      <c r="A235" s="18"/>
      <c r="B235" s="18"/>
      <c r="C235" s="18"/>
      <c r="D235" s="4"/>
      <c r="E235" s="18"/>
      <c r="F235" s="18"/>
      <c r="G235" s="18"/>
      <c r="H235" s="18"/>
      <c r="I235" s="18"/>
      <c r="J235" s="4"/>
      <c r="W235" s="4"/>
      <c r="X235" s="4"/>
      <c r="Y235" s="4"/>
      <c r="Z235" s="4"/>
      <c r="AA235" s="4"/>
      <c r="AB235" s="4"/>
    </row>
    <row r="236" spans="1:28" ht="12.75">
      <c r="A236" s="18"/>
      <c r="B236" s="18"/>
      <c r="C236" s="18"/>
      <c r="D236" s="4"/>
      <c r="E236" s="18"/>
      <c r="F236" s="18"/>
      <c r="G236" s="18"/>
      <c r="H236" s="18"/>
      <c r="I236" s="18"/>
      <c r="J236" s="4"/>
      <c r="W236" s="4"/>
      <c r="X236" s="4"/>
      <c r="Y236" s="4"/>
      <c r="Z236" s="4"/>
      <c r="AA236" s="4"/>
      <c r="AB236" s="4"/>
    </row>
    <row r="237" spans="1:28" ht="12.75">
      <c r="A237" s="18"/>
      <c r="B237" s="18"/>
      <c r="C237" s="18"/>
      <c r="D237" s="4"/>
      <c r="E237" s="18"/>
      <c r="F237" s="18"/>
      <c r="G237" s="18"/>
      <c r="H237" s="18"/>
      <c r="I237" s="18"/>
      <c r="J237" s="4"/>
      <c r="W237" s="4"/>
      <c r="X237" s="4"/>
      <c r="Y237" s="4"/>
      <c r="Z237" s="4"/>
      <c r="AA237" s="4"/>
      <c r="AB237" s="4"/>
    </row>
    <row r="238" spans="1:28" ht="12.75">
      <c r="A238" s="18"/>
      <c r="B238" s="18"/>
      <c r="C238" s="18"/>
      <c r="D238" s="4"/>
      <c r="E238" s="18"/>
      <c r="F238" s="18"/>
      <c r="G238" s="18"/>
      <c r="H238" s="18"/>
      <c r="I238" s="18"/>
      <c r="J238" s="4"/>
      <c r="W238" s="4"/>
      <c r="X238" s="4"/>
      <c r="Y238" s="4"/>
      <c r="Z238" s="4"/>
      <c r="AA238" s="4"/>
      <c r="AB238" s="4"/>
    </row>
    <row r="239" spans="1:28" ht="12.75">
      <c r="A239" s="18"/>
      <c r="B239" s="18"/>
      <c r="C239" s="18"/>
      <c r="D239" s="4"/>
      <c r="E239" s="18"/>
      <c r="F239" s="18"/>
      <c r="G239" s="18"/>
      <c r="H239" s="18"/>
      <c r="I239" s="18"/>
      <c r="J239" s="4"/>
      <c r="W239" s="4"/>
      <c r="X239" s="4"/>
      <c r="Y239" s="4"/>
      <c r="Z239" s="4"/>
      <c r="AA239" s="4"/>
      <c r="AB239" s="4"/>
    </row>
    <row r="240" spans="1:28" ht="12.75">
      <c r="A240" s="18"/>
      <c r="B240" s="18"/>
      <c r="C240" s="18"/>
      <c r="D240" s="4"/>
      <c r="E240" s="18"/>
      <c r="F240" s="18"/>
      <c r="G240" s="18"/>
      <c r="H240" s="18"/>
      <c r="I240" s="18"/>
      <c r="J240" s="4"/>
      <c r="W240" s="4"/>
      <c r="X240" s="4"/>
      <c r="Y240" s="4"/>
      <c r="Z240" s="4"/>
      <c r="AA240" s="4"/>
      <c r="AB240" s="4"/>
    </row>
    <row r="241" spans="1:28" ht="12.75">
      <c r="A241" s="18"/>
      <c r="B241" s="18"/>
      <c r="C241" s="18"/>
      <c r="D241" s="4"/>
      <c r="E241" s="18"/>
      <c r="F241" s="18"/>
      <c r="G241" s="18"/>
      <c r="H241" s="18"/>
      <c r="I241" s="18"/>
      <c r="J241" s="4"/>
      <c r="W241" s="4"/>
      <c r="X241" s="4"/>
      <c r="Y241" s="4"/>
      <c r="Z241" s="4"/>
      <c r="AA241" s="4"/>
      <c r="AB241" s="4"/>
    </row>
    <row r="242" spans="1:28" ht="12.75">
      <c r="A242" s="18"/>
      <c r="B242" s="18"/>
      <c r="C242" s="18"/>
      <c r="D242" s="4"/>
      <c r="E242" s="18"/>
      <c r="F242" s="18"/>
      <c r="G242" s="18"/>
      <c r="H242" s="18"/>
      <c r="I242" s="18"/>
      <c r="J242" s="4"/>
      <c r="W242" s="4"/>
      <c r="X242" s="4"/>
      <c r="Y242" s="4"/>
      <c r="Z242" s="4"/>
      <c r="AA242" s="4"/>
      <c r="AB242" s="4"/>
    </row>
    <row r="243" spans="1:28" ht="12.75">
      <c r="A243" s="18"/>
      <c r="B243" s="18"/>
      <c r="C243" s="18"/>
      <c r="D243" s="4"/>
      <c r="E243" s="18"/>
      <c r="F243" s="18"/>
      <c r="G243" s="18"/>
      <c r="H243" s="18"/>
      <c r="I243" s="18"/>
      <c r="J243" s="4"/>
      <c r="W243" s="4"/>
      <c r="X243" s="4"/>
      <c r="Y243" s="4"/>
      <c r="Z243" s="4"/>
      <c r="AA243" s="4"/>
      <c r="AB243" s="4"/>
    </row>
    <row r="244" spans="1:28" ht="12.75">
      <c r="A244" s="18"/>
      <c r="B244" s="18"/>
      <c r="C244" s="18"/>
      <c r="D244" s="4"/>
      <c r="E244" s="18"/>
      <c r="F244" s="18"/>
      <c r="G244" s="18"/>
      <c r="H244" s="18"/>
      <c r="I244" s="18"/>
      <c r="J244" s="4"/>
      <c r="W244" s="4"/>
      <c r="X244" s="4"/>
      <c r="Y244" s="4"/>
      <c r="Z244" s="4"/>
      <c r="AA244" s="4"/>
      <c r="AB244" s="4"/>
    </row>
    <row r="245" spans="1:28" ht="12.75">
      <c r="A245" s="18"/>
      <c r="B245" s="18"/>
      <c r="C245" s="18"/>
      <c r="D245" s="4"/>
      <c r="E245" s="18"/>
      <c r="F245" s="18"/>
      <c r="G245" s="18"/>
      <c r="H245" s="18"/>
      <c r="I245" s="18"/>
      <c r="J245" s="4"/>
      <c r="W245" s="4"/>
      <c r="X245" s="4"/>
      <c r="Y245" s="4"/>
      <c r="Z245" s="4"/>
      <c r="AA245" s="4"/>
      <c r="AB245" s="4"/>
    </row>
    <row r="246" spans="1:28" ht="12.75">
      <c r="A246" s="18"/>
      <c r="B246" s="18"/>
      <c r="C246" s="18"/>
      <c r="D246" s="4"/>
      <c r="E246" s="18"/>
      <c r="F246" s="18"/>
      <c r="G246" s="18"/>
      <c r="H246" s="18"/>
      <c r="I246" s="18"/>
      <c r="J246" s="4"/>
      <c r="W246" s="4"/>
      <c r="X246" s="4"/>
      <c r="Y246" s="4"/>
      <c r="Z246" s="4"/>
      <c r="AA246" s="4"/>
      <c r="AB246" s="4"/>
    </row>
    <row r="247" spans="1:28" ht="12.75">
      <c r="A247" s="18"/>
      <c r="B247" s="18"/>
      <c r="C247" s="18"/>
      <c r="D247" s="4"/>
      <c r="E247" s="18"/>
      <c r="F247" s="18"/>
      <c r="G247" s="18"/>
      <c r="H247" s="18"/>
      <c r="I247" s="18"/>
      <c r="J247" s="4"/>
      <c r="W247" s="4"/>
      <c r="X247" s="4"/>
      <c r="Y247" s="4"/>
      <c r="Z247" s="4"/>
      <c r="AA247" s="4"/>
      <c r="AB247" s="4"/>
    </row>
    <row r="248" spans="1:28" ht="12.75">
      <c r="A248" s="18"/>
      <c r="B248" s="18"/>
      <c r="C248" s="18"/>
      <c r="D248" s="4"/>
      <c r="E248" s="18"/>
      <c r="F248" s="18"/>
      <c r="G248" s="18"/>
      <c r="H248" s="18"/>
      <c r="I248" s="18"/>
      <c r="J248" s="4"/>
      <c r="W248" s="4"/>
      <c r="X248" s="4"/>
      <c r="Y248" s="4"/>
      <c r="Z248" s="4"/>
      <c r="AA248" s="4"/>
      <c r="AB248" s="4"/>
    </row>
    <row r="249" spans="1:28" ht="12.75">
      <c r="A249" s="18"/>
      <c r="B249" s="18"/>
      <c r="C249" s="18"/>
      <c r="D249" s="4"/>
      <c r="E249" s="18"/>
      <c r="F249" s="18"/>
      <c r="G249" s="18"/>
      <c r="H249" s="18"/>
      <c r="I249" s="18"/>
      <c r="J249" s="4"/>
      <c r="W249" s="4"/>
      <c r="X249" s="4"/>
      <c r="Y249" s="4"/>
      <c r="Z249" s="4"/>
      <c r="AA249" s="4"/>
      <c r="AB249" s="4"/>
    </row>
    <row r="250" spans="1:28" ht="12.75">
      <c r="A250" s="18"/>
      <c r="B250" s="18"/>
      <c r="C250" s="18"/>
      <c r="D250" s="4"/>
      <c r="E250" s="18"/>
      <c r="F250" s="18"/>
      <c r="G250" s="18"/>
      <c r="H250" s="18"/>
      <c r="I250" s="18"/>
      <c r="J250" s="4"/>
      <c r="W250" s="4"/>
      <c r="X250" s="4"/>
      <c r="Y250" s="4"/>
      <c r="Z250" s="4"/>
      <c r="AA250" s="4"/>
      <c r="AB250" s="4"/>
    </row>
    <row r="251" spans="1:28" ht="12.75">
      <c r="A251" s="18"/>
      <c r="B251" s="18"/>
      <c r="C251" s="18"/>
      <c r="D251" s="4"/>
      <c r="E251" s="18"/>
      <c r="F251" s="18"/>
      <c r="G251" s="18"/>
      <c r="H251" s="18"/>
      <c r="I251" s="18"/>
      <c r="J251" s="4"/>
      <c r="W251" s="4"/>
      <c r="X251" s="4"/>
      <c r="Y251" s="4"/>
      <c r="Z251" s="4"/>
      <c r="AA251" s="4"/>
      <c r="AB251" s="4"/>
    </row>
    <row r="252" spans="1:28" ht="12.75">
      <c r="A252" s="18"/>
      <c r="B252" s="18"/>
      <c r="C252" s="18"/>
      <c r="D252" s="4"/>
      <c r="E252" s="18"/>
      <c r="F252" s="18"/>
      <c r="G252" s="18"/>
      <c r="H252" s="18"/>
      <c r="I252" s="18"/>
      <c r="J252" s="4"/>
      <c r="W252" s="4"/>
      <c r="X252" s="4"/>
      <c r="Y252" s="4"/>
      <c r="Z252" s="4"/>
      <c r="AA252" s="4"/>
      <c r="AB252" s="4"/>
    </row>
    <row r="253" spans="1:28" ht="12.75">
      <c r="A253" s="18"/>
      <c r="B253" s="18"/>
      <c r="C253" s="18"/>
      <c r="D253" s="4"/>
      <c r="E253" s="18"/>
      <c r="F253" s="18"/>
      <c r="G253" s="18"/>
      <c r="H253" s="18"/>
      <c r="I253" s="18"/>
      <c r="J253" s="4"/>
      <c r="W253" s="4"/>
      <c r="X253" s="4"/>
      <c r="Y253" s="4"/>
      <c r="Z253" s="4"/>
      <c r="AA253" s="4"/>
      <c r="AB253" s="4"/>
    </row>
    <row r="254" spans="1:28" ht="12.75">
      <c r="A254" s="18"/>
      <c r="B254" s="18"/>
      <c r="C254" s="18"/>
      <c r="D254" s="4"/>
      <c r="E254" s="18"/>
      <c r="F254" s="18"/>
      <c r="G254" s="18"/>
      <c r="H254" s="18"/>
      <c r="I254" s="18"/>
      <c r="J254" s="4"/>
      <c r="W254" s="4"/>
      <c r="X254" s="4"/>
      <c r="Y254" s="4"/>
      <c r="Z254" s="4"/>
      <c r="AA254" s="4"/>
      <c r="AB254" s="4"/>
    </row>
    <row r="255" spans="1:28" ht="12.75">
      <c r="A255" s="18"/>
      <c r="B255" s="18"/>
      <c r="C255" s="18"/>
      <c r="D255" s="4"/>
      <c r="E255" s="18"/>
      <c r="F255" s="18"/>
      <c r="G255" s="18"/>
      <c r="H255" s="18"/>
      <c r="I255" s="18"/>
      <c r="J255" s="4"/>
      <c r="W255" s="4"/>
      <c r="X255" s="4"/>
      <c r="Y255" s="4"/>
      <c r="Z255" s="4"/>
      <c r="AA255" s="4"/>
      <c r="AB255" s="4"/>
    </row>
    <row r="256" spans="1:28" ht="12.75">
      <c r="A256" s="18"/>
      <c r="B256" s="18"/>
      <c r="C256" s="18"/>
      <c r="D256" s="4"/>
      <c r="E256" s="18"/>
      <c r="F256" s="18"/>
      <c r="G256" s="18"/>
      <c r="H256" s="18"/>
      <c r="I256" s="18"/>
      <c r="J256" s="4"/>
      <c r="W256" s="4"/>
      <c r="X256" s="4"/>
      <c r="Y256" s="4"/>
      <c r="Z256" s="4"/>
      <c r="AA256" s="4"/>
      <c r="AB256" s="4"/>
    </row>
    <row r="257" spans="1:28" ht="12.75">
      <c r="A257" s="18"/>
      <c r="B257" s="18"/>
      <c r="C257" s="18"/>
      <c r="D257" s="4"/>
      <c r="E257" s="18"/>
      <c r="F257" s="18"/>
      <c r="G257" s="18"/>
      <c r="H257" s="18"/>
      <c r="I257" s="18"/>
      <c r="J257" s="4"/>
      <c r="W257" s="4"/>
      <c r="X257" s="4"/>
      <c r="Y257" s="4"/>
      <c r="Z257" s="4"/>
      <c r="AA257" s="4"/>
      <c r="AB257" s="4"/>
    </row>
    <row r="258" spans="1:28" ht="12.75">
      <c r="A258" s="18"/>
      <c r="B258" s="18"/>
      <c r="C258" s="18"/>
      <c r="D258" s="4"/>
      <c r="E258" s="18"/>
      <c r="F258" s="18"/>
      <c r="G258" s="18"/>
      <c r="H258" s="18"/>
      <c r="I258" s="18"/>
      <c r="J258" s="4"/>
      <c r="W258" s="4"/>
      <c r="X258" s="4"/>
      <c r="Y258" s="4"/>
      <c r="Z258" s="4"/>
      <c r="AA258" s="4"/>
      <c r="AB258" s="4"/>
    </row>
    <row r="259" spans="1:28" ht="12.75">
      <c r="A259" s="18"/>
      <c r="B259" s="18"/>
      <c r="C259" s="18"/>
      <c r="D259" s="4"/>
      <c r="E259" s="18"/>
      <c r="F259" s="18"/>
      <c r="G259" s="18"/>
      <c r="H259" s="18"/>
      <c r="I259" s="18"/>
      <c r="J259" s="4"/>
      <c r="W259" s="4"/>
      <c r="X259" s="4"/>
      <c r="Y259" s="4"/>
      <c r="Z259" s="4"/>
      <c r="AA259" s="4"/>
      <c r="AB259" s="4"/>
    </row>
    <row r="260" spans="1:28" ht="12.75">
      <c r="A260" s="18"/>
      <c r="B260" s="18"/>
      <c r="C260" s="18"/>
      <c r="D260" s="4"/>
      <c r="E260" s="18"/>
      <c r="F260" s="18"/>
      <c r="G260" s="18"/>
      <c r="H260" s="18"/>
      <c r="I260" s="18"/>
      <c r="J260" s="4"/>
      <c r="W260" s="4"/>
      <c r="X260" s="4"/>
      <c r="Y260" s="4"/>
      <c r="Z260" s="4"/>
      <c r="AA260" s="4"/>
      <c r="AB260" s="4"/>
    </row>
    <row r="261" spans="1:28" ht="12.75">
      <c r="A261" s="18"/>
      <c r="B261" s="18"/>
      <c r="C261" s="18"/>
      <c r="D261" s="4"/>
      <c r="E261" s="18"/>
      <c r="F261" s="18"/>
      <c r="G261" s="18"/>
      <c r="H261" s="18"/>
      <c r="I261" s="18"/>
      <c r="J261" s="4"/>
      <c r="W261" s="4"/>
      <c r="X261" s="4"/>
      <c r="Y261" s="4"/>
      <c r="Z261" s="4"/>
      <c r="AA261" s="4"/>
      <c r="AB261" s="4"/>
    </row>
    <row r="262" spans="1:28" ht="12.75">
      <c r="A262" s="18"/>
      <c r="B262" s="18"/>
      <c r="C262" s="18"/>
      <c r="D262" s="4"/>
      <c r="E262" s="18"/>
      <c r="F262" s="18"/>
      <c r="G262" s="18"/>
      <c r="H262" s="18"/>
      <c r="I262" s="18"/>
      <c r="J262" s="4"/>
      <c r="W262" s="4"/>
      <c r="X262" s="4"/>
      <c r="Y262" s="4"/>
      <c r="Z262" s="4"/>
      <c r="AA262" s="4"/>
      <c r="AB262" s="4"/>
    </row>
    <row r="263" spans="1:28" ht="12.75">
      <c r="A263" s="18"/>
      <c r="B263" s="18"/>
      <c r="C263" s="18"/>
      <c r="D263" s="4"/>
      <c r="E263" s="18"/>
      <c r="F263" s="18"/>
      <c r="G263" s="18"/>
      <c r="H263" s="18"/>
      <c r="I263" s="18"/>
      <c r="J263" s="4"/>
      <c r="W263" s="4"/>
      <c r="X263" s="4"/>
      <c r="Y263" s="4"/>
      <c r="Z263" s="4"/>
      <c r="AA263" s="4"/>
      <c r="AB263" s="4"/>
    </row>
    <row r="264" spans="1:2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W264" s="4"/>
      <c r="X264" s="4"/>
      <c r="Y264" s="4"/>
      <c r="Z264" s="4"/>
      <c r="AA264" s="4"/>
      <c r="AB264" s="4"/>
    </row>
    <row r="265" spans="1:2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W265" s="4"/>
      <c r="X265" s="4"/>
      <c r="Y265" s="4"/>
      <c r="Z265" s="4"/>
      <c r="AA265" s="4"/>
      <c r="AB265" s="4"/>
    </row>
    <row r="266" spans="1:2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W266" s="4"/>
      <c r="X266" s="4"/>
      <c r="Y266" s="4"/>
      <c r="Z266" s="4"/>
      <c r="AA266" s="4"/>
      <c r="AB266" s="4"/>
    </row>
    <row r="267" spans="1:2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W267" s="4"/>
      <c r="X267" s="4"/>
      <c r="Y267" s="4"/>
      <c r="Z267" s="4"/>
      <c r="AA267" s="4"/>
      <c r="AB267" s="4"/>
    </row>
    <row r="268" spans="1:2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W268" s="4"/>
      <c r="X268" s="4"/>
      <c r="Y268" s="4"/>
      <c r="Z268" s="4"/>
      <c r="AA268" s="4"/>
      <c r="AB268" s="4"/>
    </row>
    <row r="269" spans="1:2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W269" s="4"/>
      <c r="X269" s="4"/>
      <c r="Y269" s="4"/>
      <c r="Z269" s="4"/>
      <c r="AA269" s="4"/>
      <c r="AB269" s="4"/>
    </row>
    <row r="270" spans="1:2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W270" s="4"/>
      <c r="X270" s="4"/>
      <c r="Y270" s="4"/>
      <c r="Z270" s="4"/>
      <c r="AA270" s="4"/>
      <c r="AB270" s="4"/>
    </row>
    <row r="271" spans="1:2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W271" s="4"/>
      <c r="X271" s="4"/>
      <c r="Y271" s="4"/>
      <c r="Z271" s="4"/>
      <c r="AA271" s="4"/>
      <c r="AB271" s="4"/>
    </row>
    <row r="272" spans="1:2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W272" s="4"/>
      <c r="X272" s="4"/>
      <c r="Y272" s="4"/>
      <c r="Z272" s="4"/>
      <c r="AA272" s="4"/>
      <c r="AB272" s="4"/>
    </row>
    <row r="273" spans="1:2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W273" s="4"/>
      <c r="X273" s="4"/>
      <c r="Y273" s="4"/>
      <c r="Z273" s="4"/>
      <c r="AA273" s="4"/>
      <c r="AB273" s="4"/>
    </row>
    <row r="274" spans="1:2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W274" s="4"/>
      <c r="X274" s="4"/>
      <c r="Y274" s="4"/>
      <c r="Z274" s="4"/>
      <c r="AA274" s="4"/>
      <c r="AB274" s="4"/>
    </row>
    <row r="275" spans="1:2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W275" s="4"/>
      <c r="X275" s="4"/>
      <c r="Y275" s="4"/>
      <c r="Z275" s="4"/>
      <c r="AA275" s="4"/>
      <c r="AB275" s="4"/>
    </row>
    <row r="276" spans="1:2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W276" s="4"/>
      <c r="X276" s="4"/>
      <c r="Y276" s="4"/>
      <c r="Z276" s="4"/>
      <c r="AA276" s="4"/>
      <c r="AB276" s="4"/>
    </row>
    <row r="277" spans="1:2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W277" s="4"/>
      <c r="X277" s="4"/>
      <c r="Y277" s="4"/>
      <c r="Z277" s="4"/>
      <c r="AA277" s="4"/>
      <c r="AB277" s="4"/>
    </row>
    <row r="278" spans="1:2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W278" s="4"/>
      <c r="X278" s="4"/>
      <c r="Y278" s="4"/>
      <c r="Z278" s="4"/>
      <c r="AA278" s="4"/>
      <c r="AB278" s="4"/>
    </row>
    <row r="279" spans="1:2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W279" s="4"/>
      <c r="X279" s="4"/>
      <c r="Y279" s="4"/>
      <c r="Z279" s="4"/>
      <c r="AA279" s="4"/>
      <c r="AB279" s="4"/>
    </row>
    <row r="280" spans="1:2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W280" s="4"/>
      <c r="X280" s="4"/>
      <c r="Y280" s="4"/>
      <c r="Z280" s="4"/>
      <c r="AA280" s="4"/>
      <c r="AB280" s="4"/>
    </row>
    <row r="281" spans="1:2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W281" s="4"/>
      <c r="X281" s="4"/>
      <c r="Y281" s="4"/>
      <c r="Z281" s="4"/>
      <c r="AA281" s="4"/>
      <c r="AB281" s="4"/>
    </row>
    <row r="282" spans="1:2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W282" s="4"/>
      <c r="X282" s="4"/>
      <c r="Y282" s="4"/>
      <c r="Z282" s="4"/>
      <c r="AA282" s="4"/>
      <c r="AB282" s="4"/>
    </row>
    <row r="283" spans="1:2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W283" s="4"/>
      <c r="X283" s="4"/>
      <c r="Y283" s="4"/>
      <c r="Z283" s="4"/>
      <c r="AA283" s="4"/>
      <c r="AB283" s="4"/>
    </row>
    <row r="284" spans="1:2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W284" s="4"/>
      <c r="X284" s="4"/>
      <c r="Y284" s="4"/>
      <c r="Z284" s="4"/>
      <c r="AA284" s="4"/>
      <c r="AB284" s="4"/>
    </row>
    <row r="285" spans="1:2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W285" s="4"/>
      <c r="X285" s="4"/>
      <c r="Y285" s="4"/>
      <c r="Z285" s="4"/>
      <c r="AA285" s="4"/>
      <c r="AB285" s="4"/>
    </row>
    <row r="286" spans="1:2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W286" s="4"/>
      <c r="X286" s="4"/>
      <c r="Y286" s="4"/>
      <c r="Z286" s="4"/>
      <c r="AA286" s="4"/>
      <c r="AB286" s="4"/>
    </row>
    <row r="287" spans="1:2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W287" s="4"/>
      <c r="X287" s="4"/>
      <c r="Y287" s="4"/>
      <c r="Z287" s="4"/>
      <c r="AA287" s="4"/>
      <c r="AB287" s="4"/>
    </row>
    <row r="288" spans="1:2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W288" s="4"/>
      <c r="X288" s="4"/>
      <c r="Y288" s="4"/>
      <c r="Z288" s="4"/>
      <c r="AA288" s="4"/>
      <c r="AB288" s="4"/>
    </row>
    <row r="289" spans="1:2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W289" s="4"/>
      <c r="X289" s="4"/>
      <c r="Y289" s="4"/>
      <c r="Z289" s="4"/>
      <c r="AA289" s="4"/>
      <c r="AB289" s="4"/>
    </row>
    <row r="290" spans="1:2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W290" s="4"/>
      <c r="X290" s="4"/>
      <c r="Y290" s="4"/>
      <c r="Z290" s="4"/>
      <c r="AA290" s="4"/>
      <c r="AB290" s="4"/>
    </row>
    <row r="291" spans="1:2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W291" s="4"/>
      <c r="X291" s="4"/>
      <c r="Y291" s="4"/>
      <c r="Z291" s="4"/>
      <c r="AA291" s="4"/>
      <c r="AB291" s="4"/>
    </row>
    <row r="292" spans="1:2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W292" s="4"/>
      <c r="X292" s="4"/>
      <c r="Y292" s="4"/>
      <c r="Z292" s="4"/>
      <c r="AA292" s="4"/>
      <c r="AB292" s="4"/>
    </row>
    <row r="293" spans="1:2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W293" s="4"/>
      <c r="X293" s="4"/>
      <c r="Y293" s="4"/>
      <c r="Z293" s="4"/>
      <c r="AA293" s="4"/>
      <c r="AB293" s="4"/>
    </row>
    <row r="294" spans="1:2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W294" s="4"/>
      <c r="X294" s="4"/>
      <c r="Y294" s="4"/>
      <c r="Z294" s="4"/>
      <c r="AA294" s="4"/>
      <c r="AB294" s="4"/>
    </row>
    <row r="295" spans="1:2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W295" s="4"/>
      <c r="X295" s="4"/>
      <c r="Y295" s="4"/>
      <c r="Z295" s="4"/>
      <c r="AA295" s="4"/>
      <c r="AB295" s="4"/>
    </row>
    <row r="296" spans="1:2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W296" s="4"/>
      <c r="X296" s="4"/>
      <c r="Y296" s="4"/>
      <c r="Z296" s="4"/>
      <c r="AA296" s="4"/>
      <c r="AB296" s="4"/>
    </row>
    <row r="297" spans="1:2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W297" s="4"/>
      <c r="X297" s="4"/>
      <c r="Y297" s="4"/>
      <c r="Z297" s="4"/>
      <c r="AA297" s="4"/>
      <c r="AB297" s="4"/>
    </row>
    <row r="298" spans="1:2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W298" s="4"/>
      <c r="X298" s="4"/>
      <c r="Y298" s="4"/>
      <c r="Z298" s="4"/>
      <c r="AA298" s="4"/>
      <c r="AB298" s="4"/>
    </row>
    <row r="299" spans="1:2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W299" s="4"/>
      <c r="X299" s="4"/>
      <c r="Y299" s="4"/>
      <c r="Z299" s="4"/>
      <c r="AA299" s="4"/>
      <c r="AB299" s="4"/>
    </row>
    <row r="300" spans="1:2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W300" s="4"/>
      <c r="X300" s="4"/>
      <c r="Y300" s="4"/>
      <c r="Z300" s="4"/>
      <c r="AA300" s="4"/>
      <c r="AB300" s="4"/>
    </row>
    <row r="301" spans="1:10" ht="12.7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2.7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2.7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2.7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2.7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2.7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2.7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2.7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2.7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2.7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2.7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2.7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2.7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2.7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2.7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2.7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2.7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2.7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2.7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2.7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2.7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2.75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2.75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2.75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2.7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2.75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ht="12.75">
      <c r="J683" s="4"/>
    </row>
  </sheetData>
  <sheetProtection sheet="1" objects="1" scenarios="1" formatCells="0" formatColumns="0" formatRows="0"/>
  <protectedRanges>
    <protectedRange sqref="A67" name="Plage3"/>
    <protectedRange sqref="E42:E47 F58" name="Plage1"/>
    <protectedRange sqref="A65:B65 E65:I65" name="Plage2"/>
    <protectedRange sqref="I48" name="Plage4"/>
  </protectedRanges>
  <mergeCells count="30">
    <mergeCell ref="I4:I5"/>
    <mergeCell ref="H4:H5"/>
    <mergeCell ref="G4:G5"/>
    <mergeCell ref="B15:B18"/>
    <mergeCell ref="A45:C45"/>
    <mergeCell ref="A44:C44"/>
    <mergeCell ref="A43:C43"/>
    <mergeCell ref="A42:C42"/>
    <mergeCell ref="A41:C41"/>
    <mergeCell ref="A40:C40"/>
    <mergeCell ref="E65:I65"/>
    <mergeCell ref="A39:C39"/>
    <mergeCell ref="H3:I3"/>
    <mergeCell ref="A36:C36"/>
    <mergeCell ref="A35:C35"/>
    <mergeCell ref="D3:E3"/>
    <mergeCell ref="F3:G3"/>
    <mergeCell ref="A31:B31"/>
    <mergeCell ref="A38:C38"/>
    <mergeCell ref="A37:C37"/>
    <mergeCell ref="B4:B5"/>
    <mergeCell ref="F4:F5"/>
    <mergeCell ref="E4:E5"/>
    <mergeCell ref="D4:D5"/>
    <mergeCell ref="C4:C5"/>
    <mergeCell ref="A67:B67"/>
    <mergeCell ref="A65:B65"/>
    <mergeCell ref="A47:C47"/>
    <mergeCell ref="A46:C46"/>
    <mergeCell ref="A57:D57"/>
  </mergeCells>
  <conditionalFormatting sqref="G60:I61 D59:D61 D35:D52 E35:E39 L58:L59 F35:F52 E58:F61 H58:I58 G35:I57 E41:E56 F55:F56 D55:D56">
    <cfRule type="expression" priority="1" dxfId="0" stopIfTrue="1">
      <formula>ISERROR($D$35:$I$61)</formula>
    </cfRule>
  </conditionalFormatting>
  <conditionalFormatting sqref="H59:I59">
    <cfRule type="cellIs" priority="2" dxfId="0" operator="equal" stopIfTrue="1">
      <formula>ISERROR($D$35:$I$61)</formula>
    </cfRule>
    <cfRule type="cellIs" priority="3" dxfId="0" operator="equal" stopIfTrue="1">
      <formula>FALSE</formula>
    </cfRule>
  </conditionalFormatting>
  <conditionalFormatting sqref="G58:G59">
    <cfRule type="cellIs" priority="4" dxfId="0" operator="equal" stopIfTrue="1">
      <formula>ISERROR($D$35:$I$61)</formula>
    </cfRule>
    <cfRule type="cellIs" priority="5" dxfId="0" operator="equal" stopIfTrue="1">
      <formula>FALSE</formula>
    </cfRule>
  </conditionalFormatting>
  <conditionalFormatting sqref="E40">
    <cfRule type="cellIs" priority="6" dxfId="0" operator="equal" stopIfTrue="1">
      <formula>0</formula>
    </cfRule>
  </conditionalFormatting>
  <printOptions/>
  <pageMargins left="0.5511811023622047" right="0.31496062992125984" top="0.2362204724409449" bottom="0.2755905511811024" header="0.2362204724409449" footer="0.2755905511811024"/>
  <pageSetup fitToHeight="1" fitToWidth="1" horizontalDpi="600" verticalDpi="600" orientation="portrait" paperSize="9" scale="95" r:id="rId2"/>
  <headerFooter alignWithMargins="0">
    <oddFooter>&amp;RPage &amp;P</oddFooter>
  </headerFooter>
  <rowBreaks count="1" manualBreakCount="1">
    <brk id="111" max="6553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AE127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2.7109375" style="594" bestFit="1" customWidth="1"/>
    <col min="2" max="2" width="16.140625" style="0" customWidth="1"/>
    <col min="3" max="3" width="7.28125" style="0" customWidth="1"/>
    <col min="4" max="4" width="2.00390625" style="0" bestFit="1" customWidth="1"/>
    <col min="5" max="5" width="11.140625" style="0" bestFit="1" customWidth="1"/>
    <col min="6" max="6" width="5.7109375" style="0" bestFit="1" customWidth="1"/>
    <col min="7" max="7" width="5.140625" style="0" bestFit="1" customWidth="1"/>
    <col min="8" max="8" width="9.28125" style="0" bestFit="1" customWidth="1"/>
    <col min="9" max="9" width="8.00390625" style="0" bestFit="1" customWidth="1"/>
    <col min="10" max="10" width="6.57421875" style="0" bestFit="1" customWidth="1"/>
    <col min="11" max="11" width="4.00390625" style="0" bestFit="1" customWidth="1"/>
    <col min="12" max="12" width="5.28125" style="0" customWidth="1"/>
    <col min="13" max="13" width="6.7109375" style="0" customWidth="1"/>
    <col min="14" max="14" width="8.00390625" style="0" customWidth="1"/>
    <col min="15" max="15" width="17.00390625" style="0" customWidth="1"/>
    <col min="16" max="16" width="11.421875" style="4" customWidth="1"/>
    <col min="17" max="17" width="13.421875" style="4" customWidth="1"/>
    <col min="18" max="22" width="11.421875" style="4" customWidth="1"/>
    <col min="23" max="23" width="15.8515625" style="4" customWidth="1"/>
    <col min="24" max="31" width="11.421875" style="4" customWidth="1"/>
  </cols>
  <sheetData>
    <row r="1" spans="1:14" ht="8.25" customHeight="1">
      <c r="A1" s="740"/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</row>
    <row r="2" spans="1:26" ht="18">
      <c r="A2" s="999" t="s">
        <v>335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4" t="s">
        <v>322</v>
      </c>
      <c r="Y2" s="653"/>
      <c r="Z2" s="451"/>
    </row>
    <row r="3" spans="1:26" ht="18">
      <c r="A3" s="740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1"/>
      <c r="O3" s="4"/>
      <c r="Y3" s="653"/>
      <c r="Z3" s="451"/>
    </row>
    <row r="4" spans="1:26" ht="15">
      <c r="A4" s="740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4"/>
      <c r="Y4" s="653"/>
      <c r="Z4" s="451"/>
    </row>
    <row r="5" spans="1:31" s="300" customFormat="1" ht="15.75" customHeight="1">
      <c r="A5" s="743" t="s">
        <v>328</v>
      </c>
      <c r="B5" s="744" t="s">
        <v>332</v>
      </c>
      <c r="C5" s="745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7"/>
      <c r="O5" s="4"/>
      <c r="P5" s="4"/>
      <c r="Q5" s="4"/>
      <c r="R5" s="4"/>
      <c r="S5" s="4"/>
      <c r="T5" s="4"/>
      <c r="U5" s="4"/>
      <c r="V5" s="4"/>
      <c r="W5" s="4"/>
      <c r="X5" s="4"/>
      <c r="Y5" s="653"/>
      <c r="Z5" s="451"/>
      <c r="AA5" s="4"/>
      <c r="AB5" s="4"/>
      <c r="AC5" s="4"/>
      <c r="AD5" s="4"/>
      <c r="AE5" s="4"/>
    </row>
    <row r="6" spans="1:31" ht="15">
      <c r="A6" s="740"/>
      <c r="B6" s="748">
        <f>'Effectifs bétail'!D5+'Effectifs bétail'!D9</f>
        <v>0</v>
      </c>
      <c r="C6" s="741" t="s">
        <v>284</v>
      </c>
      <c r="D6" s="741" t="s">
        <v>285</v>
      </c>
      <c r="E6" s="903"/>
      <c r="F6" s="741" t="s">
        <v>54</v>
      </c>
      <c r="G6" s="749" t="s">
        <v>285</v>
      </c>
      <c r="H6" s="904">
        <f>V127</f>
        <v>15.9</v>
      </c>
      <c r="I6" s="741" t="s">
        <v>326</v>
      </c>
      <c r="J6" s="749">
        <v>1.1</v>
      </c>
      <c r="K6" s="750" t="s">
        <v>286</v>
      </c>
      <c r="L6" s="751">
        <f>B6*E6*J6*H6/100</f>
        <v>0</v>
      </c>
      <c r="M6" s="741" t="s">
        <v>325</v>
      </c>
      <c r="N6" s="747"/>
      <c r="O6" s="4"/>
      <c r="Y6" s="653"/>
      <c r="Z6" s="451"/>
      <c r="AE6"/>
    </row>
    <row r="7" spans="1:26" ht="15">
      <c r="A7" s="740"/>
      <c r="B7" s="741"/>
      <c r="C7" s="741"/>
      <c r="D7" s="741"/>
      <c r="E7" s="741"/>
      <c r="F7" s="741" t="s">
        <v>186</v>
      </c>
      <c r="G7" s="741"/>
      <c r="H7" s="741"/>
      <c r="I7" s="741"/>
      <c r="J7" s="741"/>
      <c r="K7" s="741"/>
      <c r="L7" s="741"/>
      <c r="M7" s="741"/>
      <c r="N7" s="747"/>
      <c r="O7" s="4"/>
      <c r="Y7" s="653"/>
      <c r="Z7" s="451"/>
    </row>
    <row r="8" spans="1:31" s="591" customFormat="1" ht="36" customHeight="1">
      <c r="A8" s="752"/>
      <c r="B8" s="753" t="s">
        <v>287</v>
      </c>
      <c r="C8" s="753" t="s">
        <v>288</v>
      </c>
      <c r="D8" s="753"/>
      <c r="E8" s="753" t="s">
        <v>327</v>
      </c>
      <c r="F8" s="753"/>
      <c r="G8" s="1001" t="s">
        <v>289</v>
      </c>
      <c r="H8" s="1001"/>
      <c r="I8" s="753"/>
      <c r="J8" s="1001" t="s">
        <v>78</v>
      </c>
      <c r="K8" s="1001"/>
      <c r="L8" s="754"/>
      <c r="M8" s="754"/>
      <c r="N8" s="754"/>
      <c r="O8" s="592" t="s">
        <v>319</v>
      </c>
      <c r="P8" s="590"/>
      <c r="Q8" s="590"/>
      <c r="R8" s="590"/>
      <c r="AB8" s="590"/>
      <c r="AC8" s="590"/>
      <c r="AD8" s="590"/>
      <c r="AE8" s="590"/>
    </row>
    <row r="9" spans="1:26" ht="15">
      <c r="A9" s="740"/>
      <c r="B9" s="741" t="s">
        <v>290</v>
      </c>
      <c r="C9" s="905"/>
      <c r="D9" s="755" t="s">
        <v>285</v>
      </c>
      <c r="E9" s="751">
        <f>L6</f>
        <v>0</v>
      </c>
      <c r="F9" s="749" t="s">
        <v>6</v>
      </c>
      <c r="G9" s="598">
        <v>225</v>
      </c>
      <c r="H9" s="741" t="s">
        <v>311</v>
      </c>
      <c r="I9" s="750" t="s">
        <v>286</v>
      </c>
      <c r="J9" s="756">
        <f aca="true" t="shared" si="0" ref="J9:J14">C9*E9/G9*100</f>
        <v>0</v>
      </c>
      <c r="K9" s="757" t="s">
        <v>334</v>
      </c>
      <c r="L9" s="747"/>
      <c r="M9" s="747"/>
      <c r="N9" s="747"/>
      <c r="O9" s="451" t="s">
        <v>317</v>
      </c>
      <c r="Y9" s="653"/>
      <c r="Z9" s="451"/>
    </row>
    <row r="10" spans="1:26" ht="15">
      <c r="A10" s="740"/>
      <c r="B10" s="741" t="s">
        <v>291</v>
      </c>
      <c r="C10" s="905"/>
      <c r="D10" s="755" t="s">
        <v>285</v>
      </c>
      <c r="E10" s="751">
        <f>$L$6</f>
        <v>0</v>
      </c>
      <c r="F10" s="749" t="s">
        <v>6</v>
      </c>
      <c r="G10" s="598">
        <v>210</v>
      </c>
      <c r="H10" s="741" t="s">
        <v>311</v>
      </c>
      <c r="I10" s="750" t="s">
        <v>286</v>
      </c>
      <c r="J10" s="756">
        <f t="shared" si="0"/>
        <v>0</v>
      </c>
      <c r="K10" s="757" t="s">
        <v>334</v>
      </c>
      <c r="L10" s="747"/>
      <c r="M10" s="747"/>
      <c r="N10" s="747"/>
      <c r="O10" s="451" t="s">
        <v>316</v>
      </c>
      <c r="Y10" s="653"/>
      <c r="Z10" s="451"/>
    </row>
    <row r="11" spans="1:26" ht="15">
      <c r="A11" s="740"/>
      <c r="B11" s="741" t="s">
        <v>292</v>
      </c>
      <c r="C11" s="905"/>
      <c r="D11" s="755" t="s">
        <v>285</v>
      </c>
      <c r="E11" s="751">
        <f>$L$6</f>
        <v>0</v>
      </c>
      <c r="F11" s="749" t="s">
        <v>6</v>
      </c>
      <c r="G11" s="598">
        <v>80</v>
      </c>
      <c r="H11" s="741" t="s">
        <v>311</v>
      </c>
      <c r="I11" s="750" t="s">
        <v>286</v>
      </c>
      <c r="J11" s="756">
        <f t="shared" si="0"/>
        <v>0</v>
      </c>
      <c r="K11" s="757" t="s">
        <v>334</v>
      </c>
      <c r="L11" s="747"/>
      <c r="M11" s="747"/>
      <c r="N11" s="747"/>
      <c r="O11" s="451" t="s">
        <v>318</v>
      </c>
      <c r="Y11" s="653"/>
      <c r="Z11" s="451"/>
    </row>
    <row r="12" spans="1:26" ht="15">
      <c r="A12" s="740"/>
      <c r="B12" s="741" t="s">
        <v>323</v>
      </c>
      <c r="C12" s="905"/>
      <c r="D12" s="755" t="s">
        <v>285</v>
      </c>
      <c r="E12" s="751">
        <f>$L$6</f>
        <v>0</v>
      </c>
      <c r="F12" s="749" t="s">
        <v>6</v>
      </c>
      <c r="G12" s="598">
        <v>100</v>
      </c>
      <c r="H12" s="741" t="s">
        <v>311</v>
      </c>
      <c r="I12" s="750" t="s">
        <v>286</v>
      </c>
      <c r="J12" s="756">
        <f t="shared" si="0"/>
        <v>0</v>
      </c>
      <c r="K12" s="757" t="s">
        <v>334</v>
      </c>
      <c r="L12" s="747"/>
      <c r="M12" s="747"/>
      <c r="N12" s="747"/>
      <c r="O12" s="451">
        <v>100</v>
      </c>
      <c r="Q12" s="18"/>
      <c r="Y12" s="653"/>
      <c r="Z12" s="451"/>
    </row>
    <row r="13" spans="1:26" ht="15">
      <c r="A13" s="740"/>
      <c r="B13" s="741" t="s">
        <v>315</v>
      </c>
      <c r="C13" s="905"/>
      <c r="D13" s="755" t="s">
        <v>285</v>
      </c>
      <c r="E13" s="751">
        <f>$L$6</f>
        <v>0</v>
      </c>
      <c r="F13" s="749" t="s">
        <v>6</v>
      </c>
      <c r="G13" s="598">
        <v>130</v>
      </c>
      <c r="H13" s="741" t="s">
        <v>311</v>
      </c>
      <c r="I13" s="750" t="s">
        <v>286</v>
      </c>
      <c r="J13" s="756">
        <f t="shared" si="0"/>
        <v>0</v>
      </c>
      <c r="K13" s="757" t="s">
        <v>334</v>
      </c>
      <c r="L13" s="747"/>
      <c r="M13" s="747"/>
      <c r="N13" s="747"/>
      <c r="O13" s="451" t="s">
        <v>320</v>
      </c>
      <c r="Q13" s="18"/>
      <c r="Y13" s="653"/>
      <c r="Z13" s="451"/>
    </row>
    <row r="14" spans="1:26" ht="15">
      <c r="A14" s="740"/>
      <c r="B14" s="907"/>
      <c r="C14" s="906"/>
      <c r="D14" s="758" t="s">
        <v>285</v>
      </c>
      <c r="E14" s="759">
        <f>L6</f>
        <v>0</v>
      </c>
      <c r="F14" s="760" t="s">
        <v>6</v>
      </c>
      <c r="G14" s="599">
        <v>1</v>
      </c>
      <c r="H14" s="747" t="s">
        <v>311</v>
      </c>
      <c r="I14" s="761" t="s">
        <v>286</v>
      </c>
      <c r="J14" s="762">
        <f t="shared" si="0"/>
        <v>0</v>
      </c>
      <c r="K14" s="763" t="s">
        <v>334</v>
      </c>
      <c r="L14" s="747"/>
      <c r="M14" s="747"/>
      <c r="N14" s="747"/>
      <c r="O14" s="451"/>
      <c r="Q14" s="18"/>
      <c r="Y14" s="653"/>
      <c r="Z14" s="451"/>
    </row>
    <row r="15" spans="1:26" ht="15">
      <c r="A15" s="740"/>
      <c r="B15" s="764" t="s">
        <v>293</v>
      </c>
      <c r="C15" s="765">
        <f>SUM(C9:C14)</f>
        <v>0</v>
      </c>
      <c r="D15" s="766"/>
      <c r="E15" s="766"/>
      <c r="F15" s="766"/>
      <c r="G15" s="766"/>
      <c r="H15" s="766"/>
      <c r="I15" s="767"/>
      <c r="J15" s="766"/>
      <c r="K15" s="766"/>
      <c r="L15" s="768"/>
      <c r="M15" s="768"/>
      <c r="N15" s="747"/>
      <c r="O15" s="4"/>
      <c r="Y15" s="653"/>
      <c r="Z15" s="451"/>
    </row>
    <row r="16" spans="1:26" ht="15">
      <c r="A16" s="740"/>
      <c r="B16" s="768"/>
      <c r="C16" s="769"/>
      <c r="D16" s="768"/>
      <c r="E16" s="768"/>
      <c r="F16" s="768"/>
      <c r="G16" s="768"/>
      <c r="H16" s="768"/>
      <c r="I16" s="770"/>
      <c r="J16" s="768"/>
      <c r="K16" s="768"/>
      <c r="L16" s="768"/>
      <c r="M16" s="768"/>
      <c r="N16" s="747"/>
      <c r="O16" s="4"/>
      <c r="Y16" s="653"/>
      <c r="Z16" s="451"/>
    </row>
    <row r="17" spans="1:26" ht="15">
      <c r="A17" s="740"/>
      <c r="B17" s="768"/>
      <c r="C17" s="769"/>
      <c r="D17" s="768"/>
      <c r="E17" s="768"/>
      <c r="F17" s="768"/>
      <c r="G17" s="768"/>
      <c r="H17" s="768"/>
      <c r="I17" s="770"/>
      <c r="J17" s="768"/>
      <c r="K17" s="768"/>
      <c r="L17" s="768"/>
      <c r="M17" s="768"/>
      <c r="N17" s="747"/>
      <c r="O17" s="4"/>
      <c r="Y17" s="653"/>
      <c r="Z17" s="451"/>
    </row>
    <row r="18" spans="1:31" s="300" customFormat="1" ht="15.75" customHeight="1">
      <c r="A18" s="743" t="s">
        <v>329</v>
      </c>
      <c r="B18" s="744" t="s">
        <v>333</v>
      </c>
      <c r="C18" s="745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>
      <c r="A19" s="740"/>
      <c r="B19" s="755">
        <f>'Effectifs bétail'!D6+'Effectifs bétail'!D7+'Effectifs bétail'!D8+'Effectifs bétail'!D10+'Effectifs bétail'!D12+'Effectifs bétail'!D13</f>
        <v>0</v>
      </c>
      <c r="C19" s="741" t="s">
        <v>284</v>
      </c>
      <c r="D19" s="741" t="s">
        <v>285</v>
      </c>
      <c r="E19" s="903"/>
      <c r="F19" s="741" t="s">
        <v>54</v>
      </c>
      <c r="G19" s="749" t="s">
        <v>285</v>
      </c>
      <c r="H19" s="904">
        <f>V127</f>
        <v>15.9</v>
      </c>
      <c r="I19" s="741" t="s">
        <v>326</v>
      </c>
      <c r="J19" s="749">
        <v>1.1</v>
      </c>
      <c r="K19" s="750" t="s">
        <v>286</v>
      </c>
      <c r="L19" s="751">
        <f>B19*E19*J19*H19/100</f>
        <v>0</v>
      </c>
      <c r="M19" s="741" t="s">
        <v>325</v>
      </c>
      <c r="N19" s="747"/>
      <c r="O19" s="4"/>
      <c r="Y19" s="653"/>
      <c r="Z19" s="451"/>
      <c r="AE19"/>
    </row>
    <row r="20" spans="1:26" ht="13.5">
      <c r="A20" s="740"/>
      <c r="B20" s="741"/>
      <c r="C20" s="741"/>
      <c r="D20" s="741"/>
      <c r="E20" s="741"/>
      <c r="F20" s="741" t="s">
        <v>186</v>
      </c>
      <c r="G20" s="741"/>
      <c r="H20" s="741"/>
      <c r="I20" s="741"/>
      <c r="J20" s="741"/>
      <c r="K20" s="741"/>
      <c r="L20" s="741"/>
      <c r="M20" s="741"/>
      <c r="N20" s="741"/>
      <c r="O20" s="4"/>
      <c r="Y20" s="653"/>
      <c r="Z20" s="451"/>
    </row>
    <row r="21" spans="1:31" s="591" customFormat="1" ht="36" customHeight="1">
      <c r="A21" s="752"/>
      <c r="B21" s="753" t="s">
        <v>287</v>
      </c>
      <c r="C21" s="753" t="s">
        <v>288</v>
      </c>
      <c r="D21" s="753"/>
      <c r="E21" s="753" t="s">
        <v>327</v>
      </c>
      <c r="F21" s="753"/>
      <c r="G21" s="1001" t="s">
        <v>289</v>
      </c>
      <c r="H21" s="1001"/>
      <c r="I21" s="753"/>
      <c r="J21" s="1001" t="s">
        <v>78</v>
      </c>
      <c r="K21" s="1001"/>
      <c r="L21" s="754"/>
      <c r="M21" s="754"/>
      <c r="N21" s="771"/>
      <c r="O21" s="592" t="s">
        <v>319</v>
      </c>
      <c r="P21" s="590"/>
      <c r="Q21" s="590"/>
      <c r="R21" s="590"/>
      <c r="AB21" s="590"/>
      <c r="AC21" s="590"/>
      <c r="AD21" s="590"/>
      <c r="AE21" s="590"/>
    </row>
    <row r="22" spans="1:26" ht="15">
      <c r="A22" s="740"/>
      <c r="B22" s="741" t="s">
        <v>290</v>
      </c>
      <c r="C22" s="905"/>
      <c r="D22" s="755" t="s">
        <v>285</v>
      </c>
      <c r="E22" s="751">
        <f>L19</f>
        <v>0</v>
      </c>
      <c r="F22" s="749" t="s">
        <v>6</v>
      </c>
      <c r="G22" s="598">
        <v>225</v>
      </c>
      <c r="H22" s="741" t="s">
        <v>311</v>
      </c>
      <c r="I22" s="750" t="s">
        <v>286</v>
      </c>
      <c r="J22" s="756">
        <f>C22*E22/G22*100</f>
        <v>0</v>
      </c>
      <c r="K22" s="757" t="s">
        <v>334</v>
      </c>
      <c r="L22" s="747"/>
      <c r="M22" s="747"/>
      <c r="N22" s="741"/>
      <c r="O22" s="451" t="s">
        <v>317</v>
      </c>
      <c r="Y22" s="653"/>
      <c r="Z22" s="451"/>
    </row>
    <row r="23" spans="1:26" ht="15">
      <c r="A23" s="740"/>
      <c r="B23" s="741" t="s">
        <v>291</v>
      </c>
      <c r="C23" s="905"/>
      <c r="D23" s="755" t="s">
        <v>285</v>
      </c>
      <c r="E23" s="751">
        <f>L19</f>
        <v>0</v>
      </c>
      <c r="F23" s="749" t="s">
        <v>6</v>
      </c>
      <c r="G23" s="598">
        <v>210</v>
      </c>
      <c r="H23" s="741" t="s">
        <v>311</v>
      </c>
      <c r="I23" s="750" t="s">
        <v>286</v>
      </c>
      <c r="J23" s="756">
        <f>C23*E23/G23*100</f>
        <v>0</v>
      </c>
      <c r="K23" s="757" t="s">
        <v>334</v>
      </c>
      <c r="L23" s="747"/>
      <c r="M23" s="747"/>
      <c r="N23" s="741"/>
      <c r="O23" s="451" t="s">
        <v>316</v>
      </c>
      <c r="Y23" s="653"/>
      <c r="Z23" s="451"/>
    </row>
    <row r="24" spans="1:26" ht="15">
      <c r="A24" s="740"/>
      <c r="B24" s="741" t="s">
        <v>292</v>
      </c>
      <c r="C24" s="905"/>
      <c r="D24" s="755" t="s">
        <v>285</v>
      </c>
      <c r="E24" s="751">
        <f>L19</f>
        <v>0</v>
      </c>
      <c r="F24" s="749" t="s">
        <v>6</v>
      </c>
      <c r="G24" s="598">
        <v>80</v>
      </c>
      <c r="H24" s="741" t="s">
        <v>311</v>
      </c>
      <c r="I24" s="750" t="s">
        <v>286</v>
      </c>
      <c r="J24" s="756">
        <f>C24*E24/G24*100</f>
        <v>0</v>
      </c>
      <c r="K24" s="757" t="s">
        <v>334</v>
      </c>
      <c r="L24" s="747"/>
      <c r="M24" s="747"/>
      <c r="N24" s="741"/>
      <c r="O24" s="451" t="s">
        <v>318</v>
      </c>
      <c r="Y24" s="653"/>
      <c r="Z24" s="451"/>
    </row>
    <row r="25" spans="1:26" ht="15">
      <c r="A25" s="740"/>
      <c r="B25" s="741" t="s">
        <v>323</v>
      </c>
      <c r="C25" s="905"/>
      <c r="D25" s="755" t="s">
        <v>285</v>
      </c>
      <c r="E25" s="751">
        <f>L19</f>
        <v>0</v>
      </c>
      <c r="F25" s="749" t="s">
        <v>6</v>
      </c>
      <c r="G25" s="598">
        <v>100</v>
      </c>
      <c r="H25" s="741" t="s">
        <v>311</v>
      </c>
      <c r="I25" s="750" t="s">
        <v>286</v>
      </c>
      <c r="J25" s="756">
        <f>C25*E25/G25*100</f>
        <v>0</v>
      </c>
      <c r="K25" s="757" t="s">
        <v>334</v>
      </c>
      <c r="L25" s="747"/>
      <c r="M25" s="747"/>
      <c r="N25" s="741"/>
      <c r="O25" s="451">
        <v>100</v>
      </c>
      <c r="Y25" s="653"/>
      <c r="Z25" s="451"/>
    </row>
    <row r="26" spans="1:26" ht="15">
      <c r="A26" s="740"/>
      <c r="B26" s="907"/>
      <c r="C26" s="906"/>
      <c r="D26" s="758" t="s">
        <v>285</v>
      </c>
      <c r="E26" s="759">
        <f>L19</f>
        <v>0</v>
      </c>
      <c r="F26" s="760" t="s">
        <v>6</v>
      </c>
      <c r="G26" s="599">
        <v>1</v>
      </c>
      <c r="H26" s="747" t="s">
        <v>311</v>
      </c>
      <c r="I26" s="761" t="s">
        <v>286</v>
      </c>
      <c r="J26" s="762">
        <f>C26*E26/G26*100</f>
        <v>0</v>
      </c>
      <c r="K26" s="763" t="s">
        <v>334</v>
      </c>
      <c r="L26" s="747"/>
      <c r="M26" s="747"/>
      <c r="N26" s="741"/>
      <c r="O26" s="451"/>
      <c r="Y26" s="653"/>
      <c r="Z26" s="451"/>
    </row>
    <row r="27" spans="1:26" ht="15">
      <c r="A27" s="740"/>
      <c r="B27" s="764" t="s">
        <v>293</v>
      </c>
      <c r="C27" s="765">
        <f>SUM(C22:C26)</f>
        <v>0</v>
      </c>
      <c r="D27" s="766"/>
      <c r="E27" s="766"/>
      <c r="F27" s="766"/>
      <c r="G27" s="766"/>
      <c r="H27" s="766"/>
      <c r="I27" s="767"/>
      <c r="J27" s="766"/>
      <c r="K27" s="766"/>
      <c r="L27" s="768"/>
      <c r="M27" s="768"/>
      <c r="N27" s="741"/>
      <c r="O27" s="4"/>
      <c r="Y27" s="653"/>
      <c r="Z27" s="451"/>
    </row>
    <row r="28" spans="1:26" ht="15">
      <c r="A28" s="740"/>
      <c r="B28" s="768"/>
      <c r="C28" s="769"/>
      <c r="D28" s="768"/>
      <c r="E28" s="768"/>
      <c r="F28" s="768"/>
      <c r="G28" s="768"/>
      <c r="H28" s="768"/>
      <c r="I28" s="770"/>
      <c r="J28" s="768"/>
      <c r="K28" s="768"/>
      <c r="L28" s="768"/>
      <c r="M28" s="768"/>
      <c r="N28" s="741"/>
      <c r="O28" s="4"/>
      <c r="Y28" s="653"/>
      <c r="Z28" s="451"/>
    </row>
    <row r="29" spans="1:26" ht="15">
      <c r="A29" s="740" t="s">
        <v>330</v>
      </c>
      <c r="B29" s="772" t="s">
        <v>294</v>
      </c>
      <c r="C29" s="773"/>
      <c r="D29" s="774"/>
      <c r="E29" s="774"/>
      <c r="F29" s="774"/>
      <c r="G29" s="774"/>
      <c r="H29" s="774"/>
      <c r="I29" s="775"/>
      <c r="J29" s="774"/>
      <c r="K29" s="774"/>
      <c r="L29" s="768"/>
      <c r="M29" s="768"/>
      <c r="N29" s="741"/>
      <c r="O29" s="4"/>
      <c r="Y29" s="653"/>
      <c r="Z29" s="451"/>
    </row>
    <row r="30" spans="1:31" s="322" customFormat="1" ht="15">
      <c r="A30" s="740"/>
      <c r="B30" s="776" t="s">
        <v>295</v>
      </c>
      <c r="C30" s="908"/>
      <c r="D30" s="776" t="s">
        <v>296</v>
      </c>
      <c r="E30" s="777" t="s">
        <v>6</v>
      </c>
      <c r="F30" s="778">
        <v>600</v>
      </c>
      <c r="G30" s="776" t="s">
        <v>312</v>
      </c>
      <c r="H30" s="777" t="s">
        <v>286</v>
      </c>
      <c r="I30" s="790">
        <f>C30/F30*1000</f>
        <v>0</v>
      </c>
      <c r="J30" s="763" t="s">
        <v>334</v>
      </c>
      <c r="K30" s="776"/>
      <c r="L30" s="779"/>
      <c r="M30" s="779"/>
      <c r="N30" s="779"/>
      <c r="O30" s="321"/>
      <c r="P30" s="321"/>
      <c r="Q30" s="321"/>
      <c r="R30" s="321"/>
      <c r="AB30" s="321"/>
      <c r="AC30" s="321"/>
      <c r="AD30" s="321"/>
      <c r="AE30" s="321"/>
    </row>
    <row r="31" spans="1:31" s="322" customFormat="1" ht="15">
      <c r="A31" s="740"/>
      <c r="B31" s="780" t="s">
        <v>297</v>
      </c>
      <c r="C31" s="909"/>
      <c r="D31" s="780" t="s">
        <v>296</v>
      </c>
      <c r="E31" s="781" t="s">
        <v>6</v>
      </c>
      <c r="F31" s="782">
        <v>650</v>
      </c>
      <c r="G31" s="780" t="s">
        <v>312</v>
      </c>
      <c r="H31" s="781" t="s">
        <v>286</v>
      </c>
      <c r="I31" s="791">
        <f>C31/F31*1000</f>
        <v>0</v>
      </c>
      <c r="J31" s="745" t="s">
        <v>334</v>
      </c>
      <c r="K31" s="780"/>
      <c r="L31" s="779"/>
      <c r="M31" s="779"/>
      <c r="N31" s="779"/>
      <c r="O31" s="321"/>
      <c r="P31" s="321"/>
      <c r="Q31" s="321"/>
      <c r="R31" s="321"/>
      <c r="AB31" s="321"/>
      <c r="AC31" s="321"/>
      <c r="AD31" s="321"/>
      <c r="AE31" s="321"/>
    </row>
    <row r="32" spans="1:31" s="322" customFormat="1" ht="13.5">
      <c r="A32" s="740"/>
      <c r="B32" s="779"/>
      <c r="C32" s="783"/>
      <c r="D32" s="779"/>
      <c r="E32" s="779"/>
      <c r="F32" s="779"/>
      <c r="G32" s="779"/>
      <c r="H32" s="779"/>
      <c r="I32" s="784"/>
      <c r="J32" s="779"/>
      <c r="K32" s="779"/>
      <c r="L32" s="779"/>
      <c r="M32" s="779"/>
      <c r="N32" s="779"/>
      <c r="O32" s="321"/>
      <c r="P32" s="321"/>
      <c r="Q32" s="321"/>
      <c r="R32" s="321"/>
      <c r="AB32" s="321"/>
      <c r="AC32" s="321"/>
      <c r="AD32" s="321"/>
      <c r="AE32" s="321"/>
    </row>
    <row r="33" spans="1:31" s="322" customFormat="1" ht="13.5">
      <c r="A33" s="740"/>
      <c r="B33" s="779"/>
      <c r="C33" s="783"/>
      <c r="D33" s="779"/>
      <c r="E33" s="779"/>
      <c r="F33" s="779"/>
      <c r="G33" s="779"/>
      <c r="H33" s="779"/>
      <c r="I33" s="784"/>
      <c r="J33" s="779"/>
      <c r="K33" s="779"/>
      <c r="L33" s="779"/>
      <c r="M33" s="779"/>
      <c r="N33" s="779"/>
      <c r="O33" s="321"/>
      <c r="P33" s="321"/>
      <c r="Q33" s="321"/>
      <c r="R33" s="321"/>
      <c r="AB33" s="321"/>
      <c r="AC33" s="321"/>
      <c r="AD33" s="321"/>
      <c r="AE33" s="321"/>
    </row>
    <row r="34" spans="1:31" s="322" customFormat="1" ht="15">
      <c r="A34" s="740" t="s">
        <v>331</v>
      </c>
      <c r="B34" s="772" t="s">
        <v>298</v>
      </c>
      <c r="C34" s="773"/>
      <c r="D34" s="774"/>
      <c r="E34" s="774"/>
      <c r="F34" s="774"/>
      <c r="G34" s="774"/>
      <c r="H34" s="774"/>
      <c r="I34" s="775"/>
      <c r="J34" s="774"/>
      <c r="K34" s="774"/>
      <c r="L34" s="774"/>
      <c r="M34" s="774"/>
      <c r="N34" s="779"/>
      <c r="O34" s="592" t="s">
        <v>321</v>
      </c>
      <c r="P34" s="321"/>
      <c r="Q34" s="321"/>
      <c r="R34" s="321"/>
      <c r="AB34" s="321"/>
      <c r="AC34" s="321"/>
      <c r="AD34" s="321"/>
      <c r="AE34" s="321"/>
    </row>
    <row r="35" spans="1:31" s="322" customFormat="1" ht="13.5">
      <c r="A35" s="740"/>
      <c r="B35" s="779"/>
      <c r="C35" s="783"/>
      <c r="D35" s="779"/>
      <c r="E35" s="779"/>
      <c r="F35" s="779"/>
      <c r="G35" s="779"/>
      <c r="H35" s="779"/>
      <c r="I35" s="784"/>
      <c r="J35" s="779"/>
      <c r="K35" s="779"/>
      <c r="L35" s="779"/>
      <c r="M35" s="779"/>
      <c r="N35" s="779"/>
      <c r="O35" s="321"/>
      <c r="P35" s="321"/>
      <c r="Q35" s="321"/>
      <c r="R35" s="321"/>
      <c r="AB35" s="321"/>
      <c r="AC35" s="321"/>
      <c r="AD35" s="321"/>
      <c r="AE35" s="321"/>
    </row>
    <row r="36" spans="1:31" s="322" customFormat="1" ht="13.5">
      <c r="A36" s="740"/>
      <c r="B36" s="785" t="s">
        <v>299</v>
      </c>
      <c r="C36" s="779">
        <f>'Bétail et systèmes de garde'!C26</f>
        <v>0</v>
      </c>
      <c r="D36" s="1000" t="s">
        <v>300</v>
      </c>
      <c r="E36" s="1000"/>
      <c r="F36" s="903"/>
      <c r="G36" s="741" t="s">
        <v>54</v>
      </c>
      <c r="H36" s="749" t="s">
        <v>285</v>
      </c>
      <c r="I36" s="883">
        <v>0</v>
      </c>
      <c r="J36" s="741" t="s">
        <v>302</v>
      </c>
      <c r="K36" s="750" t="s">
        <v>286</v>
      </c>
      <c r="L36" s="786">
        <f>I36*F36*C36/1000</f>
        <v>0</v>
      </c>
      <c r="M36" s="741" t="s">
        <v>296</v>
      </c>
      <c r="N36" s="741"/>
      <c r="O36" s="593" t="s">
        <v>301</v>
      </c>
      <c r="P36" s="321"/>
      <c r="Q36" s="321"/>
      <c r="R36" s="321"/>
      <c r="AB36" s="321"/>
      <c r="AC36" s="321"/>
      <c r="AD36" s="321"/>
      <c r="AE36" s="321"/>
    </row>
    <row r="37" spans="1:31" s="322" customFormat="1" ht="11.25" customHeight="1">
      <c r="A37" s="740"/>
      <c r="B37" s="785"/>
      <c r="C37" s="741"/>
      <c r="D37" s="741"/>
      <c r="E37" s="741"/>
      <c r="F37" s="741"/>
      <c r="G37" s="749"/>
      <c r="H37" s="741"/>
      <c r="I37" s="779"/>
      <c r="J37" s="749"/>
      <c r="K37" s="749"/>
      <c r="L37" s="786"/>
      <c r="M37" s="751"/>
      <c r="N37" s="741"/>
      <c r="O37" s="593"/>
      <c r="P37" s="321"/>
      <c r="Q37" s="321"/>
      <c r="R37" s="321"/>
      <c r="AB37" s="321"/>
      <c r="AC37" s="321"/>
      <c r="AD37" s="321"/>
      <c r="AE37" s="321"/>
    </row>
    <row r="38" spans="1:31" s="322" customFormat="1" ht="12.75" customHeight="1">
      <c r="A38" s="740"/>
      <c r="B38" s="785" t="s">
        <v>303</v>
      </c>
      <c r="C38" s="741">
        <f>'Bétail et systèmes de garde'!D26+'Bétail et systèmes de garde'!E26</f>
        <v>0</v>
      </c>
      <c r="D38" s="1000" t="s">
        <v>300</v>
      </c>
      <c r="E38" s="1000"/>
      <c r="F38" s="903"/>
      <c r="G38" s="741" t="s">
        <v>54</v>
      </c>
      <c r="H38" s="749" t="s">
        <v>285</v>
      </c>
      <c r="I38" s="883">
        <v>4</v>
      </c>
      <c r="J38" s="741" t="s">
        <v>302</v>
      </c>
      <c r="K38" s="750" t="s">
        <v>286</v>
      </c>
      <c r="L38" s="786">
        <f>I38*F38*C38/1000</f>
        <v>0</v>
      </c>
      <c r="M38" s="741" t="s">
        <v>296</v>
      </c>
      <c r="N38" s="741"/>
      <c r="O38" s="593" t="s">
        <v>304</v>
      </c>
      <c r="P38" s="321"/>
      <c r="Q38" s="321"/>
      <c r="R38" s="321"/>
      <c r="AB38" s="321"/>
      <c r="AC38" s="321"/>
      <c r="AD38" s="321"/>
      <c r="AE38" s="321"/>
    </row>
    <row r="39" spans="1:31" s="322" customFormat="1" ht="11.25" customHeight="1">
      <c r="A39" s="740"/>
      <c r="B39" s="785"/>
      <c r="C39" s="741"/>
      <c r="D39" s="741"/>
      <c r="E39" s="741"/>
      <c r="F39" s="787"/>
      <c r="G39" s="749"/>
      <c r="H39" s="741"/>
      <c r="I39" s="779"/>
      <c r="J39" s="749"/>
      <c r="K39" s="749"/>
      <c r="L39" s="786"/>
      <c r="M39" s="751"/>
      <c r="N39" s="741"/>
      <c r="O39" s="593"/>
      <c r="P39" s="321"/>
      <c r="Q39" s="321"/>
      <c r="R39" s="321"/>
      <c r="AB39" s="321"/>
      <c r="AC39" s="321"/>
      <c r="AD39" s="321"/>
      <c r="AE39" s="321"/>
    </row>
    <row r="40" spans="1:31" s="322" customFormat="1" ht="13.5">
      <c r="A40" s="740"/>
      <c r="B40" s="785" t="s">
        <v>305</v>
      </c>
      <c r="C40" s="741">
        <f>'Bétail et systèmes de garde'!J26</f>
        <v>0</v>
      </c>
      <c r="D40" s="1000" t="s">
        <v>300</v>
      </c>
      <c r="E40" s="1000"/>
      <c r="F40" s="903"/>
      <c r="G40" s="741" t="s">
        <v>54</v>
      </c>
      <c r="H40" s="749" t="s">
        <v>285</v>
      </c>
      <c r="I40" s="883">
        <v>2</v>
      </c>
      <c r="J40" s="741" t="s">
        <v>302</v>
      </c>
      <c r="K40" s="750" t="s">
        <v>286</v>
      </c>
      <c r="L40" s="786">
        <f>I40*F40*C40/1000</f>
        <v>0</v>
      </c>
      <c r="M40" s="741" t="s">
        <v>296</v>
      </c>
      <c r="N40" s="741"/>
      <c r="O40" s="593" t="s">
        <v>306</v>
      </c>
      <c r="P40" s="321"/>
      <c r="Q40" s="321"/>
      <c r="R40" s="321"/>
      <c r="AB40" s="321"/>
      <c r="AC40" s="321"/>
      <c r="AD40" s="321"/>
      <c r="AE40" s="321"/>
    </row>
    <row r="41" spans="1:31" s="322" customFormat="1" ht="11.25" customHeight="1">
      <c r="A41" s="740"/>
      <c r="B41" s="785"/>
      <c r="C41" s="741"/>
      <c r="D41" s="741"/>
      <c r="E41" s="741"/>
      <c r="F41" s="741"/>
      <c r="G41" s="749"/>
      <c r="H41" s="741"/>
      <c r="I41" s="779"/>
      <c r="J41" s="749"/>
      <c r="K41" s="749"/>
      <c r="L41" s="786"/>
      <c r="M41" s="751"/>
      <c r="N41" s="741"/>
      <c r="O41" s="593"/>
      <c r="P41" s="321"/>
      <c r="Q41" s="321"/>
      <c r="R41" s="321"/>
      <c r="AB41" s="321"/>
      <c r="AC41" s="321"/>
      <c r="AD41" s="321"/>
      <c r="AE41" s="321"/>
    </row>
    <row r="42" spans="1:31" s="322" customFormat="1" ht="26.25" customHeight="1">
      <c r="A42" s="740"/>
      <c r="B42" s="785" t="s">
        <v>324</v>
      </c>
      <c r="C42" s="741">
        <f>'Bétail et systèmes de garde'!G26+'Bétail et systèmes de garde'!H26+'Bétail et systèmes de garde'!I26+('Bétail et systèmes de garde'!D40+'Bétail et systèmes de garde'!E40)/6</f>
        <v>0</v>
      </c>
      <c r="D42" s="1000" t="s">
        <v>300</v>
      </c>
      <c r="E42" s="1000"/>
      <c r="F42" s="903"/>
      <c r="G42" s="741" t="s">
        <v>54</v>
      </c>
      <c r="H42" s="749" t="s">
        <v>285</v>
      </c>
      <c r="I42" s="883">
        <v>5</v>
      </c>
      <c r="J42" s="741" t="s">
        <v>302</v>
      </c>
      <c r="K42" s="750" t="s">
        <v>286</v>
      </c>
      <c r="L42" s="786">
        <f>I42*F42*C42/1000</f>
        <v>0</v>
      </c>
      <c r="M42" s="741" t="s">
        <v>296</v>
      </c>
      <c r="N42" s="741"/>
      <c r="O42" s="593" t="s">
        <v>307</v>
      </c>
      <c r="P42" s="321"/>
      <c r="Q42" s="321"/>
      <c r="R42" s="321"/>
      <c r="AB42" s="321"/>
      <c r="AC42" s="321"/>
      <c r="AD42" s="321"/>
      <c r="AE42" s="321"/>
    </row>
    <row r="43" spans="1:31" s="322" customFormat="1" ht="11.25" customHeight="1">
      <c r="A43" s="740"/>
      <c r="B43" s="785"/>
      <c r="C43" s="741"/>
      <c r="D43" s="741"/>
      <c r="E43" s="741"/>
      <c r="F43" s="741"/>
      <c r="G43" s="749"/>
      <c r="H43" s="741"/>
      <c r="I43" s="779"/>
      <c r="J43" s="749"/>
      <c r="K43" s="749"/>
      <c r="L43" s="786"/>
      <c r="M43" s="751"/>
      <c r="N43" s="741"/>
      <c r="O43" s="593"/>
      <c r="P43" s="321"/>
      <c r="Q43" s="321"/>
      <c r="R43" s="321"/>
      <c r="AB43" s="321"/>
      <c r="AC43" s="321"/>
      <c r="AD43" s="321"/>
      <c r="AE43" s="321"/>
    </row>
    <row r="44" spans="1:31" s="322" customFormat="1" ht="26.25">
      <c r="A44" s="740"/>
      <c r="B44" s="785" t="s">
        <v>278</v>
      </c>
      <c r="C44" s="741">
        <f>'Bétail et systèmes de garde'!F26+'Bétail et systèmes de garde'!F40/6</f>
        <v>0</v>
      </c>
      <c r="D44" s="1000" t="s">
        <v>300</v>
      </c>
      <c r="E44" s="1000"/>
      <c r="F44" s="903"/>
      <c r="G44" s="741" t="s">
        <v>54</v>
      </c>
      <c r="H44" s="788" t="s">
        <v>285</v>
      </c>
      <c r="I44" s="883">
        <v>10</v>
      </c>
      <c r="J44" s="741" t="s">
        <v>302</v>
      </c>
      <c r="K44" s="750" t="s">
        <v>286</v>
      </c>
      <c r="L44" s="786">
        <f>I44*F44*C44/1000</f>
        <v>0</v>
      </c>
      <c r="M44" s="741" t="s">
        <v>296</v>
      </c>
      <c r="N44" s="741"/>
      <c r="O44" s="593" t="s">
        <v>308</v>
      </c>
      <c r="P44" s="321"/>
      <c r="Q44" s="321"/>
      <c r="R44" s="321"/>
      <c r="AB44" s="321"/>
      <c r="AC44" s="321"/>
      <c r="AD44" s="321"/>
      <c r="AE44" s="321"/>
    </row>
    <row r="45" spans="1:31" s="322" customFormat="1" ht="11.25" customHeight="1">
      <c r="A45" s="740"/>
      <c r="B45" s="741"/>
      <c r="C45" s="741"/>
      <c r="D45" s="741"/>
      <c r="E45" s="741"/>
      <c r="F45" s="787"/>
      <c r="G45" s="749"/>
      <c r="H45" s="741"/>
      <c r="I45" s="741"/>
      <c r="J45" s="749"/>
      <c r="K45" s="741"/>
      <c r="L45" s="786"/>
      <c r="M45" s="751"/>
      <c r="N45" s="741"/>
      <c r="O45" s="321"/>
      <c r="P45" s="321"/>
      <c r="Q45" s="321"/>
      <c r="R45" s="321"/>
      <c r="AB45" s="321"/>
      <c r="AC45" s="321"/>
      <c r="AD45" s="321"/>
      <c r="AE45" s="321"/>
    </row>
    <row r="46" spans="1:31" s="322" customFormat="1" ht="13.5">
      <c r="A46" s="740"/>
      <c r="B46" s="757" t="s">
        <v>309</v>
      </c>
      <c r="C46" s="757"/>
      <c r="D46" s="757"/>
      <c r="E46" s="757"/>
      <c r="F46" s="757"/>
      <c r="G46" s="789"/>
      <c r="H46" s="757"/>
      <c r="I46" s="757"/>
      <c r="J46" s="789"/>
      <c r="K46" s="757"/>
      <c r="L46" s="756">
        <f>SUM(L36:L44)</f>
        <v>0</v>
      </c>
      <c r="M46" s="757" t="s">
        <v>296</v>
      </c>
      <c r="N46" s="741"/>
      <c r="O46" s="321"/>
      <c r="P46" s="321"/>
      <c r="Q46" s="321"/>
      <c r="R46" s="321"/>
      <c r="AB46" s="321"/>
      <c r="AC46" s="321"/>
      <c r="AD46" s="321"/>
      <c r="AE46" s="321"/>
    </row>
    <row r="47" spans="1:31" s="322" customFormat="1" ht="15">
      <c r="A47" s="740"/>
      <c r="B47" s="757"/>
      <c r="C47" s="757"/>
      <c r="D47" s="757"/>
      <c r="E47" s="757"/>
      <c r="F47" s="757"/>
      <c r="G47" s="789"/>
      <c r="H47" s="757"/>
      <c r="I47" s="757"/>
      <c r="J47" s="789"/>
      <c r="K47" s="757"/>
      <c r="L47" s="756"/>
      <c r="M47" s="757"/>
      <c r="N47" s="741"/>
      <c r="O47" s="321"/>
      <c r="P47" s="321"/>
      <c r="Q47" s="321"/>
      <c r="R47" s="321"/>
      <c r="AB47" s="321"/>
      <c r="AC47" s="321"/>
      <c r="AD47" s="321"/>
      <c r="AE47" s="321"/>
    </row>
    <row r="48" spans="1:31" s="322" customFormat="1" ht="15">
      <c r="A48" s="740"/>
      <c r="B48" s="757" t="s">
        <v>310</v>
      </c>
      <c r="C48" s="757"/>
      <c r="D48" s="757"/>
      <c r="E48" s="779"/>
      <c r="F48" s="779"/>
      <c r="G48" s="789"/>
      <c r="H48" s="757"/>
      <c r="I48" s="757">
        <f>IF(O58=1,100,IF(O58=2,80,IF(O58=3,115,IF(O58=4,130))))</f>
        <v>130</v>
      </c>
      <c r="J48" s="757" t="s">
        <v>313</v>
      </c>
      <c r="K48" s="757"/>
      <c r="L48" s="756">
        <f>L46/I48*1.1*1000</f>
        <v>0</v>
      </c>
      <c r="M48" s="757" t="s">
        <v>314</v>
      </c>
      <c r="N48" s="741"/>
      <c r="O48" s="321"/>
      <c r="P48" s="321"/>
      <c r="Q48" s="321"/>
      <c r="R48" s="321"/>
      <c r="AB48" s="321"/>
      <c r="AC48" s="321"/>
      <c r="AD48" s="321"/>
      <c r="AE48" s="321"/>
    </row>
    <row r="49" spans="1:26" ht="15">
      <c r="A49" s="740"/>
      <c r="B49" s="746"/>
      <c r="C49" s="746"/>
      <c r="D49" s="746"/>
      <c r="E49" s="746"/>
      <c r="F49" s="746"/>
      <c r="G49" s="746"/>
      <c r="H49" s="746"/>
      <c r="I49" s="746"/>
      <c r="J49" s="746"/>
      <c r="K49" s="746"/>
      <c r="L49" s="746"/>
      <c r="M49" s="746"/>
      <c r="N49" s="746"/>
      <c r="O49" s="4"/>
      <c r="Y49" s="653"/>
      <c r="Z49" s="451"/>
    </row>
    <row r="50" spans="25:26" ht="13.5">
      <c r="Y50" s="653"/>
      <c r="Z50" s="451"/>
    </row>
    <row r="51" spans="25:26" ht="13.5">
      <c r="Y51" s="653"/>
      <c r="Z51" s="451"/>
    </row>
    <row r="52" spans="25:26" ht="13.5">
      <c r="Y52" s="653"/>
      <c r="Z52" s="451"/>
    </row>
    <row r="53" spans="25:26" ht="13.5">
      <c r="Y53" s="653"/>
      <c r="Z53" s="451"/>
    </row>
    <row r="54" spans="15:26" ht="13.5">
      <c r="O54" t="s">
        <v>449</v>
      </c>
      <c r="Y54" s="653"/>
      <c r="Z54" s="451"/>
    </row>
    <row r="55" spans="15:26" ht="13.5">
      <c r="O55" t="s">
        <v>450</v>
      </c>
      <c r="Y55" s="653"/>
      <c r="Z55" s="451"/>
    </row>
    <row r="56" spans="15:26" ht="13.5">
      <c r="O56" t="s">
        <v>451</v>
      </c>
      <c r="Y56" s="653"/>
      <c r="Z56" s="451"/>
    </row>
    <row r="57" spans="15:26" ht="13.5">
      <c r="O57" t="s">
        <v>452</v>
      </c>
      <c r="Y57" s="653"/>
      <c r="Z57" s="451"/>
    </row>
    <row r="58" spans="15:26" ht="13.5">
      <c r="O58" s="598">
        <v>4</v>
      </c>
      <c r="Y58" s="653"/>
      <c r="Z58" s="451"/>
    </row>
    <row r="59" spans="25:26" ht="13.5">
      <c r="Y59" s="653"/>
      <c r="Z59" s="451"/>
    </row>
    <row r="60" spans="25:26" ht="13.5">
      <c r="Y60" s="653"/>
      <c r="Z60" s="451"/>
    </row>
    <row r="61" spans="25:26" ht="13.5">
      <c r="Y61" s="653"/>
      <c r="Z61" s="451"/>
    </row>
    <row r="62" spans="25:26" ht="13.5">
      <c r="Y62" s="653"/>
      <c r="Z62" s="451"/>
    </row>
    <row r="63" spans="23:24" ht="13.5">
      <c r="W63" s="653"/>
      <c r="X63" s="451"/>
    </row>
    <row r="64" spans="23:24" ht="13.5">
      <c r="W64" s="653"/>
      <c r="X64" s="451"/>
    </row>
    <row r="65" spans="17:26" ht="40.5" customHeight="1">
      <c r="Q65" s="1002" t="s">
        <v>371</v>
      </c>
      <c r="R65" s="1003"/>
      <c r="S65" s="1003"/>
      <c r="T65" s="1003"/>
      <c r="U65" s="1004"/>
      <c r="V65" s="590"/>
      <c r="W65" s="654"/>
      <c r="X65" s="590"/>
      <c r="Y65" s="590"/>
      <c r="Z65" s="590"/>
    </row>
    <row r="66" spans="17:27" ht="39.75">
      <c r="Q66" s="455"/>
      <c r="R66" s="655" t="s">
        <v>372</v>
      </c>
      <c r="S66" s="67" t="s">
        <v>373</v>
      </c>
      <c r="T66" s="67" t="s">
        <v>374</v>
      </c>
      <c r="U66" s="70" t="s">
        <v>375</v>
      </c>
      <c r="W66" s="1005" t="s">
        <v>376</v>
      </c>
      <c r="X66" s="1005"/>
      <c r="Y66" s="1005"/>
      <c r="Z66" s="1005"/>
      <c r="AA66" s="1005"/>
    </row>
    <row r="67" spans="17:27" ht="13.5">
      <c r="Q67" s="455"/>
      <c r="R67" s="64">
        <v>2</v>
      </c>
      <c r="S67" s="656" t="s">
        <v>377</v>
      </c>
      <c r="T67" s="656" t="s">
        <v>377</v>
      </c>
      <c r="U67" s="656" t="s">
        <v>377</v>
      </c>
      <c r="W67" s="657"/>
      <c r="X67" s="658"/>
      <c r="Y67" s="659"/>
      <c r="Z67" s="659"/>
      <c r="AA67" s="659"/>
    </row>
    <row r="68" spans="17:27" ht="13.5">
      <c r="Q68" s="455"/>
      <c r="R68" s="456">
        <v>4</v>
      </c>
      <c r="S68" s="660">
        <v>840</v>
      </c>
      <c r="T68" s="660">
        <v>595</v>
      </c>
      <c r="U68" s="661">
        <v>470</v>
      </c>
      <c r="W68" s="1006" t="s">
        <v>378</v>
      </c>
      <c r="X68" s="1006" t="s">
        <v>379</v>
      </c>
      <c r="Y68" s="1006" t="s">
        <v>380</v>
      </c>
      <c r="Z68" s="1007" t="s">
        <v>381</v>
      </c>
      <c r="AA68" s="1009" t="s">
        <v>382</v>
      </c>
    </row>
    <row r="69" spans="17:27" ht="13.5">
      <c r="Q69" s="455"/>
      <c r="R69" s="456">
        <v>6</v>
      </c>
      <c r="S69" s="660">
        <v>875</v>
      </c>
      <c r="T69" s="660">
        <v>650</v>
      </c>
      <c r="U69" s="661">
        <v>540</v>
      </c>
      <c r="W69" s="960"/>
      <c r="X69" s="960"/>
      <c r="Y69" s="960"/>
      <c r="Z69" s="1008"/>
      <c r="AA69" s="1010"/>
    </row>
    <row r="70" spans="17:27" ht="13.5">
      <c r="Q70" s="455"/>
      <c r="R70" s="662">
        <v>8</v>
      </c>
      <c r="S70" s="660">
        <v>895</v>
      </c>
      <c r="T70" s="660">
        <v>695</v>
      </c>
      <c r="U70" s="661">
        <v>595</v>
      </c>
      <c r="W70" s="663">
        <v>3</v>
      </c>
      <c r="X70" s="664">
        <v>0.55</v>
      </c>
      <c r="Y70" s="64" t="s">
        <v>383</v>
      </c>
      <c r="Z70" s="665">
        <v>105</v>
      </c>
      <c r="AA70" s="666">
        <f aca="true" t="shared" si="1" ref="AA70:AA76">Z70*0.88</f>
        <v>92.4</v>
      </c>
    </row>
    <row r="71" spans="17:27" ht="13.5">
      <c r="Q71" s="667" t="s">
        <v>384</v>
      </c>
      <c r="R71" s="662">
        <v>10</v>
      </c>
      <c r="S71" s="661">
        <v>905</v>
      </c>
      <c r="T71" s="661">
        <v>725</v>
      </c>
      <c r="U71" s="661">
        <v>640</v>
      </c>
      <c r="W71" s="668">
        <v>3</v>
      </c>
      <c r="X71" s="669">
        <v>0.4</v>
      </c>
      <c r="Y71" s="456" t="s">
        <v>385</v>
      </c>
      <c r="Z71" s="670">
        <v>85</v>
      </c>
      <c r="AA71" s="671">
        <f t="shared" si="1"/>
        <v>74.8</v>
      </c>
    </row>
    <row r="72" spans="17:27" ht="13.5">
      <c r="Q72" s="455"/>
      <c r="R72" s="662">
        <v>12</v>
      </c>
      <c r="S72" s="661">
        <v>920</v>
      </c>
      <c r="T72" s="661">
        <v>750</v>
      </c>
      <c r="U72" s="661">
        <v>665</v>
      </c>
      <c r="W72" s="668">
        <v>3</v>
      </c>
      <c r="X72" s="669">
        <v>0.3</v>
      </c>
      <c r="Y72" s="662" t="s">
        <v>386</v>
      </c>
      <c r="Z72" s="670">
        <v>75</v>
      </c>
      <c r="AA72" s="671">
        <f t="shared" si="1"/>
        <v>66</v>
      </c>
    </row>
    <row r="73" spans="17:27" ht="13.5">
      <c r="Q73" s="455"/>
      <c r="R73" s="662">
        <v>14</v>
      </c>
      <c r="S73" s="661">
        <v>930</v>
      </c>
      <c r="T73" s="661">
        <v>770</v>
      </c>
      <c r="U73" s="661">
        <v>690</v>
      </c>
      <c r="W73" s="668" t="s">
        <v>387</v>
      </c>
      <c r="X73" s="669">
        <v>0.4</v>
      </c>
      <c r="Y73" s="662" t="s">
        <v>385</v>
      </c>
      <c r="Z73" s="672">
        <v>100</v>
      </c>
      <c r="AA73" s="671">
        <f t="shared" si="1"/>
        <v>88</v>
      </c>
    </row>
    <row r="74" spans="17:27" ht="13.5">
      <c r="Q74" s="455"/>
      <c r="R74" s="662">
        <v>16</v>
      </c>
      <c r="S74" s="661">
        <v>935</v>
      </c>
      <c r="T74" s="661">
        <v>785</v>
      </c>
      <c r="U74" s="661">
        <v>710</v>
      </c>
      <c r="W74" s="668" t="s">
        <v>387</v>
      </c>
      <c r="X74" s="669">
        <v>0.3</v>
      </c>
      <c r="Y74" s="662" t="s">
        <v>386</v>
      </c>
      <c r="Z74" s="672">
        <v>90</v>
      </c>
      <c r="AA74" s="671">
        <f t="shared" si="1"/>
        <v>79.2</v>
      </c>
    </row>
    <row r="75" spans="17:27" ht="13.5">
      <c r="Q75" s="455"/>
      <c r="R75" s="662">
        <v>18</v>
      </c>
      <c r="S75" s="661">
        <v>935</v>
      </c>
      <c r="T75" s="661">
        <v>790</v>
      </c>
      <c r="U75" s="661">
        <v>720</v>
      </c>
      <c r="W75" s="668" t="s">
        <v>388</v>
      </c>
      <c r="X75" s="669">
        <v>0.4</v>
      </c>
      <c r="Y75" s="662" t="s">
        <v>385</v>
      </c>
      <c r="Z75" s="672">
        <v>115</v>
      </c>
      <c r="AA75" s="671">
        <f t="shared" si="1"/>
        <v>101.2</v>
      </c>
    </row>
    <row r="76" spans="17:27" ht="13.5">
      <c r="Q76" s="455"/>
      <c r="R76" s="462">
        <v>20</v>
      </c>
      <c r="S76" s="508">
        <v>935</v>
      </c>
      <c r="T76" s="508">
        <v>795</v>
      </c>
      <c r="U76" s="508">
        <v>725</v>
      </c>
      <c r="W76" s="673" t="s">
        <v>388</v>
      </c>
      <c r="X76" s="674">
        <v>0.3</v>
      </c>
      <c r="Y76" s="462" t="s">
        <v>386</v>
      </c>
      <c r="Z76" s="393">
        <v>105</v>
      </c>
      <c r="AA76" s="675">
        <f t="shared" si="1"/>
        <v>92.4</v>
      </c>
    </row>
    <row r="77" spans="17:24" ht="13.5">
      <c r="Q77" s="455"/>
      <c r="R77" s="18"/>
      <c r="U77" s="676"/>
      <c r="W77" s="653"/>
      <c r="X77" s="451"/>
    </row>
    <row r="78" spans="17:24" ht="15">
      <c r="Q78" s="677"/>
      <c r="R78" s="590"/>
      <c r="S78" s="678" t="s">
        <v>389</v>
      </c>
      <c r="T78" s="678" t="s">
        <v>390</v>
      </c>
      <c r="U78" s="679" t="s">
        <v>391</v>
      </c>
      <c r="V78" s="590"/>
      <c r="W78" s="653"/>
      <c r="X78" s="451"/>
    </row>
    <row r="79" spans="17:26" ht="15">
      <c r="Q79" s="1011" t="s">
        <v>392</v>
      </c>
      <c r="R79" s="502">
        <v>1</v>
      </c>
      <c r="S79" s="680">
        <v>700</v>
      </c>
      <c r="T79" s="680">
        <v>600</v>
      </c>
      <c r="U79" s="681">
        <v>550</v>
      </c>
      <c r="W79" s="1014" t="s">
        <v>393</v>
      </c>
      <c r="X79" s="1016" t="s">
        <v>394</v>
      </c>
      <c r="Y79" s="1018" t="s">
        <v>395</v>
      </c>
      <c r="Z79" s="590"/>
    </row>
    <row r="80" spans="17:25" ht="13.5">
      <c r="Q80" s="1012"/>
      <c r="R80" s="682">
        <v>2</v>
      </c>
      <c r="S80" s="451">
        <v>755</v>
      </c>
      <c r="T80" s="451">
        <v>655</v>
      </c>
      <c r="U80" s="683">
        <v>600</v>
      </c>
      <c r="W80" s="1015"/>
      <c r="X80" s="1017"/>
      <c r="Y80" s="1019"/>
    </row>
    <row r="81" spans="17:25" ht="13.5">
      <c r="Q81" s="1012"/>
      <c r="R81" s="682">
        <v>3</v>
      </c>
      <c r="S81" s="684">
        <v>800</v>
      </c>
      <c r="T81" s="684">
        <v>700</v>
      </c>
      <c r="U81" s="683">
        <v>650</v>
      </c>
      <c r="W81" s="663" t="s">
        <v>396</v>
      </c>
      <c r="X81" s="685" t="s">
        <v>397</v>
      </c>
      <c r="Y81" s="686" t="s">
        <v>398</v>
      </c>
    </row>
    <row r="82" spans="17:25" ht="13.5">
      <c r="Q82" s="1012"/>
      <c r="R82" s="682">
        <v>4</v>
      </c>
      <c r="S82" s="684">
        <v>835</v>
      </c>
      <c r="T82" s="684">
        <v>740</v>
      </c>
      <c r="U82" s="683">
        <v>690</v>
      </c>
      <c r="W82" s="668" t="s">
        <v>399</v>
      </c>
      <c r="X82" s="660">
        <v>1000</v>
      </c>
      <c r="Y82" s="687">
        <v>220</v>
      </c>
    </row>
    <row r="83" spans="17:25" ht="13.5">
      <c r="Q83" s="1013"/>
      <c r="R83" s="507">
        <v>5</v>
      </c>
      <c r="S83" s="688">
        <v>860</v>
      </c>
      <c r="T83" s="688">
        <v>775</v>
      </c>
      <c r="U83" s="689">
        <v>730</v>
      </c>
      <c r="W83" s="673" t="s">
        <v>400</v>
      </c>
      <c r="X83" s="461">
        <v>550</v>
      </c>
      <c r="Y83" s="690">
        <v>120</v>
      </c>
    </row>
    <row r="84" spans="17:25" ht="13.5">
      <c r="Q84" s="1011" t="s">
        <v>401</v>
      </c>
      <c r="R84" s="502">
        <v>1</v>
      </c>
      <c r="S84" s="680">
        <v>750</v>
      </c>
      <c r="T84" s="680">
        <v>635</v>
      </c>
      <c r="U84" s="681">
        <v>575</v>
      </c>
      <c r="W84" s="663" t="s">
        <v>402</v>
      </c>
      <c r="X84" s="685">
        <v>140</v>
      </c>
      <c r="Y84" s="686">
        <v>125</v>
      </c>
    </row>
    <row r="85" spans="17:25" ht="13.5">
      <c r="Q85" s="1012"/>
      <c r="R85" s="682">
        <v>2</v>
      </c>
      <c r="S85" s="684">
        <v>805</v>
      </c>
      <c r="T85" s="684">
        <v>685</v>
      </c>
      <c r="U85" s="683">
        <v>630</v>
      </c>
      <c r="W85" s="668" t="s">
        <v>403</v>
      </c>
      <c r="X85" s="660">
        <v>650</v>
      </c>
      <c r="Y85" s="687">
        <v>125</v>
      </c>
    </row>
    <row r="86" spans="17:25" ht="13.5">
      <c r="Q86" s="1012"/>
      <c r="R86" s="682">
        <v>3</v>
      </c>
      <c r="S86" s="684">
        <v>850</v>
      </c>
      <c r="T86" s="684">
        <v>735</v>
      </c>
      <c r="U86" s="683">
        <v>675</v>
      </c>
      <c r="W86" s="673" t="s">
        <v>404</v>
      </c>
      <c r="X86" s="461">
        <v>700</v>
      </c>
      <c r="Y86" s="690">
        <v>150</v>
      </c>
    </row>
    <row r="87" spans="17:25" ht="13.5">
      <c r="Q87" s="1012"/>
      <c r="R87" s="691">
        <v>4</v>
      </c>
      <c r="S87" s="692">
        <v>885</v>
      </c>
      <c r="T87" s="692">
        <v>775</v>
      </c>
      <c r="U87" s="693">
        <v>720</v>
      </c>
      <c r="V87" s="321"/>
      <c r="W87" s="668" t="s">
        <v>405</v>
      </c>
      <c r="X87" s="660">
        <v>900</v>
      </c>
      <c r="Y87" s="687">
        <v>140</v>
      </c>
    </row>
    <row r="88" spans="17:26" ht="13.5">
      <c r="Q88" s="1013"/>
      <c r="R88" s="694">
        <v>5</v>
      </c>
      <c r="S88" s="695">
        <v>910</v>
      </c>
      <c r="T88" s="695">
        <v>805</v>
      </c>
      <c r="U88" s="696">
        <v>755</v>
      </c>
      <c r="V88" s="321"/>
      <c r="W88" s="1020" t="s">
        <v>406</v>
      </c>
      <c r="X88" s="660" t="s">
        <v>407</v>
      </c>
      <c r="Y88" s="687" t="s">
        <v>408</v>
      </c>
      <c r="Z88" s="321"/>
    </row>
    <row r="89" spans="17:26" ht="13.5">
      <c r="Q89" s="1011" t="s">
        <v>409</v>
      </c>
      <c r="R89" s="691">
        <v>1</v>
      </c>
      <c r="S89" s="309">
        <v>800</v>
      </c>
      <c r="T89" s="309">
        <v>665</v>
      </c>
      <c r="U89" s="697">
        <v>600</v>
      </c>
      <c r="V89" s="321"/>
      <c r="W89" s="1020"/>
      <c r="X89" s="660"/>
      <c r="Y89" s="687"/>
      <c r="Z89" s="321"/>
    </row>
    <row r="90" spans="17:26" ht="13.5">
      <c r="Q90" s="1012"/>
      <c r="R90" s="691">
        <v>2</v>
      </c>
      <c r="S90" s="309">
        <v>855</v>
      </c>
      <c r="T90" s="309">
        <v>720</v>
      </c>
      <c r="U90" s="697">
        <v>650</v>
      </c>
      <c r="V90" s="321"/>
      <c r="W90" s="1020" t="s">
        <v>410</v>
      </c>
      <c r="X90" s="670" t="s">
        <v>411</v>
      </c>
      <c r="Y90" s="687" t="s">
        <v>412</v>
      </c>
      <c r="Z90" s="321"/>
    </row>
    <row r="91" spans="17:26" ht="13.5">
      <c r="Q91" s="1012"/>
      <c r="R91" s="691">
        <v>3</v>
      </c>
      <c r="S91" s="309">
        <v>900</v>
      </c>
      <c r="T91" s="309">
        <v>765</v>
      </c>
      <c r="U91" s="697">
        <v>700</v>
      </c>
      <c r="V91" s="321"/>
      <c r="W91" s="1020"/>
      <c r="X91" s="670"/>
      <c r="Y91" s="687"/>
      <c r="Z91" s="321"/>
    </row>
    <row r="92" spans="17:26" ht="13.5">
      <c r="Q92" s="1012"/>
      <c r="R92" s="691">
        <v>4</v>
      </c>
      <c r="S92" s="309">
        <v>935</v>
      </c>
      <c r="T92" s="309">
        <v>805</v>
      </c>
      <c r="U92" s="697">
        <v>740</v>
      </c>
      <c r="V92" s="321"/>
      <c r="W92" s="1020" t="s">
        <v>413</v>
      </c>
      <c r="X92" s="670" t="s">
        <v>414</v>
      </c>
      <c r="Y92" s="698" t="s">
        <v>415</v>
      </c>
      <c r="Z92" s="321"/>
    </row>
    <row r="93" spans="17:26" ht="13.5">
      <c r="Q93" s="1013"/>
      <c r="R93" s="699">
        <v>5</v>
      </c>
      <c r="S93" s="700">
        <v>960</v>
      </c>
      <c r="T93" s="700">
        <v>840</v>
      </c>
      <c r="U93" s="701">
        <v>780</v>
      </c>
      <c r="V93" s="321"/>
      <c r="W93" s="1021"/>
      <c r="X93" s="702"/>
      <c r="Y93" s="703"/>
      <c r="Z93" s="321"/>
    </row>
    <row r="94" spans="17:26" ht="13.5">
      <c r="Q94" s="322"/>
      <c r="R94" s="321"/>
      <c r="S94" s="308"/>
      <c r="T94" s="308"/>
      <c r="U94" s="308"/>
      <c r="V94" s="321"/>
      <c r="W94" s="704"/>
      <c r="X94" s="308"/>
      <c r="Y94" s="321"/>
      <c r="Z94" s="321"/>
    </row>
    <row r="95" spans="17:26" ht="15">
      <c r="Q95" s="705" t="s">
        <v>416</v>
      </c>
      <c r="R95" s="321"/>
      <c r="S95" s="321"/>
      <c r="T95" s="321"/>
      <c r="U95" s="321"/>
      <c r="V95" s="321"/>
      <c r="W95" s="704"/>
      <c r="X95" s="308"/>
      <c r="Y95" s="321"/>
      <c r="Z95" s="321"/>
    </row>
    <row r="96" spans="17:26" ht="13.5">
      <c r="Q96" s="321"/>
      <c r="R96" s="321"/>
      <c r="S96" s="321"/>
      <c r="T96" s="321"/>
      <c r="U96" s="321"/>
      <c r="V96" s="321"/>
      <c r="W96" s="704"/>
      <c r="X96" s="308"/>
      <c r="Y96" s="321"/>
      <c r="Z96" s="321"/>
    </row>
    <row r="97" spans="17:26" ht="13.5">
      <c r="Q97" s="321"/>
      <c r="R97" s="321"/>
      <c r="S97" s="321"/>
      <c r="T97" s="321"/>
      <c r="U97" s="321"/>
      <c r="V97" s="321"/>
      <c r="W97" s="704"/>
      <c r="X97" s="308"/>
      <c r="Y97" s="321"/>
      <c r="Z97" s="321"/>
    </row>
    <row r="98" spans="17:26" ht="13.5">
      <c r="Q98" s="321"/>
      <c r="R98" s="321"/>
      <c r="S98" s="321"/>
      <c r="T98" s="321"/>
      <c r="U98" s="321"/>
      <c r="V98" s="321"/>
      <c r="W98" s="704"/>
      <c r="X98" s="308"/>
      <c r="Y98" s="321"/>
      <c r="Z98" s="321"/>
    </row>
    <row r="99" spans="17:26" ht="13.5">
      <c r="Q99" s="321"/>
      <c r="R99" s="321"/>
      <c r="S99" s="321"/>
      <c r="T99" s="321"/>
      <c r="U99" s="321"/>
      <c r="V99" s="321"/>
      <c r="W99" s="704"/>
      <c r="X99" s="308"/>
      <c r="Y99" s="321"/>
      <c r="Z99" s="321"/>
    </row>
    <row r="100" spans="17:26" ht="13.5">
      <c r="Q100" s="321"/>
      <c r="R100" s="321"/>
      <c r="S100" s="321"/>
      <c r="T100" s="321"/>
      <c r="U100" s="321"/>
      <c r="V100" s="321"/>
      <c r="W100" s="704"/>
      <c r="X100" s="308"/>
      <c r="Y100" s="321"/>
      <c r="Z100" s="321"/>
    </row>
    <row r="101" spans="17:26" ht="13.5">
      <c r="Q101" s="321"/>
      <c r="R101" s="321"/>
      <c r="S101" s="321"/>
      <c r="T101" s="321"/>
      <c r="U101" s="321"/>
      <c r="V101" s="321"/>
      <c r="W101" s="704"/>
      <c r="X101" s="308"/>
      <c r="Y101" s="321"/>
      <c r="Z101" s="321"/>
    </row>
    <row r="102" spans="17:26" ht="13.5">
      <c r="Q102" s="321"/>
      <c r="R102" s="321"/>
      <c r="S102" s="321"/>
      <c r="T102" s="321"/>
      <c r="U102" s="321"/>
      <c r="V102" s="321"/>
      <c r="W102" s="704"/>
      <c r="X102" s="308"/>
      <c r="Y102" s="321"/>
      <c r="Z102" s="321"/>
    </row>
    <row r="103" spans="17:26" ht="13.5">
      <c r="Q103" s="321"/>
      <c r="R103" s="321"/>
      <c r="S103" s="321"/>
      <c r="T103" s="321"/>
      <c r="U103" s="321"/>
      <c r="V103" s="321"/>
      <c r="W103" s="704"/>
      <c r="X103" s="308"/>
      <c r="Y103" s="321"/>
      <c r="Z103" s="321"/>
    </row>
    <row r="104" spans="17:26" ht="13.5">
      <c r="Q104" s="321"/>
      <c r="R104" s="321"/>
      <c r="S104" s="321"/>
      <c r="T104" s="321"/>
      <c r="U104" s="321"/>
      <c r="V104" s="321"/>
      <c r="W104" s="704"/>
      <c r="X104" s="308"/>
      <c r="Y104" s="321"/>
      <c r="Z104" s="321"/>
    </row>
    <row r="105" spans="17:26" ht="13.5">
      <c r="Q105" s="321"/>
      <c r="R105" s="321"/>
      <c r="S105" s="321"/>
      <c r="T105" s="321"/>
      <c r="U105" s="321"/>
      <c r="V105" s="321"/>
      <c r="W105" s="704"/>
      <c r="X105" s="308"/>
      <c r="Y105" s="321"/>
      <c r="Z105" s="321"/>
    </row>
    <row r="106" spans="17:26" ht="13.5">
      <c r="Q106" s="69" t="s">
        <v>417</v>
      </c>
      <c r="R106" s="321"/>
      <c r="S106" s="321"/>
      <c r="T106" s="321"/>
      <c r="U106" s="321"/>
      <c r="V106" s="321"/>
      <c r="W106" s="704"/>
      <c r="X106" s="308"/>
      <c r="Y106" s="321"/>
      <c r="Z106" s="321"/>
    </row>
    <row r="107" spans="17:25" ht="13.5">
      <c r="Q107" s="321"/>
      <c r="R107" s="321"/>
      <c r="S107" s="321"/>
      <c r="T107" s="321"/>
      <c r="U107" s="321"/>
      <c r="V107" s="321"/>
      <c r="W107" s="704"/>
      <c r="X107" s="308"/>
      <c r="Y107" s="321"/>
    </row>
    <row r="108" spans="17:25" ht="13.5">
      <c r="Q108" s="706" t="s">
        <v>418</v>
      </c>
      <c r="R108" s="707" t="s">
        <v>419</v>
      </c>
      <c r="S108" s="708"/>
      <c r="T108" s="708"/>
      <c r="U108" s="709"/>
      <c r="V108" s="708"/>
      <c r="W108" s="709"/>
      <c r="X108" s="308"/>
      <c r="Y108" s="321"/>
    </row>
    <row r="109" spans="17:25" ht="13.5">
      <c r="Q109" s="710"/>
      <c r="R109" s="710" t="s">
        <v>420</v>
      </c>
      <c r="S109" s="711"/>
      <c r="T109" s="711"/>
      <c r="U109" s="712"/>
      <c r="V109" s="711"/>
      <c r="W109" s="712"/>
      <c r="X109" s="308"/>
      <c r="Y109" s="321"/>
    </row>
    <row r="110" spans="17:24" ht="13.5">
      <c r="Q110" s="710"/>
      <c r="R110" s="713" t="s">
        <v>421</v>
      </c>
      <c r="S110" s="711"/>
      <c r="T110" s="711" t="s">
        <v>422</v>
      </c>
      <c r="U110" s="712"/>
      <c r="V110" s="711"/>
      <c r="W110" s="712"/>
      <c r="X110" s="451"/>
    </row>
    <row r="111" spans="17:24" ht="13.5">
      <c r="Q111" s="710"/>
      <c r="R111" s="714" t="s">
        <v>423</v>
      </c>
      <c r="S111" s="715"/>
      <c r="T111" s="715" t="s">
        <v>424</v>
      </c>
      <c r="U111" s="716"/>
      <c r="V111" s="711"/>
      <c r="W111" s="712"/>
      <c r="X111" s="451"/>
    </row>
    <row r="112" spans="17:24" ht="13.5">
      <c r="Q112" s="710"/>
      <c r="R112" s="717" t="s">
        <v>425</v>
      </c>
      <c r="S112" s="718"/>
      <c r="T112" s="718"/>
      <c r="U112" s="718"/>
      <c r="V112" s="718"/>
      <c r="W112" s="719"/>
      <c r="X112" s="451"/>
    </row>
    <row r="113" spans="17:24" ht="13.5">
      <c r="Q113" s="710"/>
      <c r="R113" s="718"/>
      <c r="S113" s="718"/>
      <c r="T113" s="718"/>
      <c r="U113" s="718"/>
      <c r="V113" s="718"/>
      <c r="W113" s="719"/>
      <c r="X113" s="451"/>
    </row>
    <row r="114" spans="17:24" ht="13.5">
      <c r="Q114" s="710" t="s">
        <v>426</v>
      </c>
      <c r="R114" s="720">
        <v>650</v>
      </c>
      <c r="S114" s="718" t="s">
        <v>427</v>
      </c>
      <c r="T114" s="718"/>
      <c r="U114" s="718"/>
      <c r="V114" s="718"/>
      <c r="W114" s="719"/>
      <c r="X114" s="451"/>
    </row>
    <row r="115" spans="17:24" ht="13.5">
      <c r="Q115" s="710" t="s">
        <v>428</v>
      </c>
      <c r="R115" s="720">
        <v>6500</v>
      </c>
      <c r="S115" s="718" t="s">
        <v>429</v>
      </c>
      <c r="T115" s="718"/>
      <c r="U115" s="718"/>
      <c r="V115" s="718"/>
      <c r="W115" s="719"/>
      <c r="X115" s="451"/>
    </row>
    <row r="116" spans="17:24" ht="13.5">
      <c r="Q116" s="710"/>
      <c r="R116" s="718"/>
      <c r="S116" s="718"/>
      <c r="T116" s="718"/>
      <c r="U116" s="721" t="s">
        <v>430</v>
      </c>
      <c r="V116" s="721" t="s">
        <v>431</v>
      </c>
      <c r="W116" s="722" t="s">
        <v>432</v>
      </c>
      <c r="X116" s="451"/>
    </row>
    <row r="117" spans="17:24" ht="13.5">
      <c r="Q117" s="710"/>
      <c r="R117" s="718"/>
      <c r="S117" s="718"/>
      <c r="T117" s="718"/>
      <c r="U117" s="723" t="s">
        <v>433</v>
      </c>
      <c r="V117" s="723" t="s">
        <v>433</v>
      </c>
      <c r="W117" s="724" t="s">
        <v>433</v>
      </c>
      <c r="X117" s="451"/>
    </row>
    <row r="118" spans="17:24" ht="13.5">
      <c r="Q118" s="713" t="s">
        <v>434</v>
      </c>
      <c r="R118" s="718"/>
      <c r="S118" s="718"/>
      <c r="T118" s="718"/>
      <c r="U118" s="723"/>
      <c r="V118" s="723">
        <f>14.5+((5.8-5.6)*0.3)*10</f>
        <v>15.100000000000001</v>
      </c>
      <c r="W118" s="725">
        <f>14.5+((6.3-5.6)*0.3)*10</f>
        <v>16.6</v>
      </c>
      <c r="X118" s="451"/>
    </row>
    <row r="119" spans="17:24" ht="13.5">
      <c r="Q119" s="710" t="s">
        <v>435</v>
      </c>
      <c r="R119" s="718"/>
      <c r="S119" s="718"/>
      <c r="T119" s="718"/>
      <c r="U119" s="726" t="s">
        <v>436</v>
      </c>
      <c r="V119" s="723">
        <f>IF($R$115&lt;6500,-(6500-$R$115)/100*0.1,0)</f>
        <v>0</v>
      </c>
      <c r="W119" s="724">
        <f>IF($R$115&lt;6500,-(6500-$R$115)/100*0.1,0)</f>
        <v>0</v>
      </c>
      <c r="X119" s="451"/>
    </row>
    <row r="120" spans="17:24" ht="13.5">
      <c r="Q120" s="710" t="s">
        <v>437</v>
      </c>
      <c r="R120" s="718"/>
      <c r="S120" s="718"/>
      <c r="T120" s="718"/>
      <c r="U120" s="726" t="s">
        <v>438</v>
      </c>
      <c r="V120" s="723">
        <f>($R$114-650)/10*0.1</f>
        <v>0</v>
      </c>
      <c r="W120" s="724">
        <f>($R$114-650)/10*0.1</f>
        <v>0</v>
      </c>
      <c r="X120" s="451"/>
    </row>
    <row r="121" spans="17:24" ht="13.5">
      <c r="Q121" s="727" t="s">
        <v>439</v>
      </c>
      <c r="R121" s="718"/>
      <c r="S121" s="718"/>
      <c r="T121" s="718"/>
      <c r="U121" s="723" t="s">
        <v>440</v>
      </c>
      <c r="V121" s="728"/>
      <c r="W121" s="729"/>
      <c r="X121" s="451"/>
    </row>
    <row r="122" spans="17:24" ht="13.5">
      <c r="Q122" s="727" t="s">
        <v>441</v>
      </c>
      <c r="R122" s="718"/>
      <c r="S122" s="718"/>
      <c r="T122" s="718"/>
      <c r="U122" s="723" t="s">
        <v>503</v>
      </c>
      <c r="V122" s="728"/>
      <c r="W122" s="730"/>
      <c r="X122" s="451"/>
    </row>
    <row r="123" spans="17:24" ht="13.5">
      <c r="Q123" s="727" t="s">
        <v>442</v>
      </c>
      <c r="R123" s="718"/>
      <c r="S123" s="718"/>
      <c r="T123" s="718"/>
      <c r="U123" s="723" t="s">
        <v>443</v>
      </c>
      <c r="V123" s="728"/>
      <c r="W123" s="730"/>
      <c r="X123" s="451"/>
    </row>
    <row r="124" spans="17:24" ht="13.5">
      <c r="Q124" s="727" t="s">
        <v>444</v>
      </c>
      <c r="R124" s="718"/>
      <c r="S124" s="718"/>
      <c r="T124" s="718"/>
      <c r="U124" s="723" t="s">
        <v>445</v>
      </c>
      <c r="V124" s="728"/>
      <c r="W124" s="730"/>
      <c r="X124" s="451"/>
    </row>
    <row r="125" spans="17:24" ht="13.5">
      <c r="Q125" s="727" t="s">
        <v>446</v>
      </c>
      <c r="R125" s="718"/>
      <c r="S125" s="718"/>
      <c r="T125" s="718"/>
      <c r="U125" s="718"/>
      <c r="V125" s="723">
        <f>SUM(V118:V124)</f>
        <v>15.100000000000001</v>
      </c>
      <c r="W125" s="724">
        <f>SUM(W118:W124)</f>
        <v>16.6</v>
      </c>
      <c r="X125" s="451"/>
    </row>
    <row r="126" spans="17:26" ht="13.5">
      <c r="Q126" s="731" t="s">
        <v>447</v>
      </c>
      <c r="R126" s="718"/>
      <c r="S126" s="718"/>
      <c r="T126" s="718"/>
      <c r="U126" s="718"/>
      <c r="V126" s="732">
        <f>V125*5/100</f>
        <v>0.755</v>
      </c>
      <c r="W126" s="733">
        <f>W125*5/100</f>
        <v>0.83</v>
      </c>
      <c r="X126" s="451"/>
      <c r="Z126" s="451"/>
    </row>
    <row r="127" spans="17:26" ht="13.5">
      <c r="Q127" s="734" t="s">
        <v>448</v>
      </c>
      <c r="R127" s="735"/>
      <c r="S127" s="735"/>
      <c r="T127" s="735"/>
      <c r="U127" s="735"/>
      <c r="V127" s="736">
        <f>ROUND(SUM(V125:V126),1)</f>
        <v>15.9</v>
      </c>
      <c r="W127" s="737">
        <f>ROUND(SUM(W125:W126),1)</f>
        <v>17.4</v>
      </c>
      <c r="X127" s="451"/>
      <c r="Z127" s="451"/>
    </row>
  </sheetData>
  <sheetProtection sheet="1" objects="1" scenarios="1" formatCells="0" formatColumns="0" formatRows="0" insertRows="0" deleteRows="0"/>
  <mergeCells count="26">
    <mergeCell ref="Q79:Q83"/>
    <mergeCell ref="W79:W80"/>
    <mergeCell ref="X79:X80"/>
    <mergeCell ref="Y79:Y80"/>
    <mergeCell ref="Q84:Q88"/>
    <mergeCell ref="W88:W89"/>
    <mergeCell ref="Q89:Q93"/>
    <mergeCell ref="W90:W91"/>
    <mergeCell ref="W92:W93"/>
    <mergeCell ref="Q65:U65"/>
    <mergeCell ref="W66:AA66"/>
    <mergeCell ref="W68:W69"/>
    <mergeCell ref="X68:X69"/>
    <mergeCell ref="Y68:Y69"/>
    <mergeCell ref="Z68:Z69"/>
    <mergeCell ref="AA68:AA69"/>
    <mergeCell ref="A2:N2"/>
    <mergeCell ref="D44:E44"/>
    <mergeCell ref="G8:H8"/>
    <mergeCell ref="J8:K8"/>
    <mergeCell ref="D36:E36"/>
    <mergeCell ref="D38:E38"/>
    <mergeCell ref="D40:E40"/>
    <mergeCell ref="D42:E42"/>
    <mergeCell ref="G21:H21"/>
    <mergeCell ref="J21:K21"/>
  </mergeCells>
  <printOptions/>
  <pageMargins left="0.45" right="0.27" top="0.48" bottom="0.55" header="0.49" footer="0.31"/>
  <pageSetup blackAndWhite="1"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IV84"/>
  <sheetViews>
    <sheetView showGridLines="0" zoomScalePageLayoutView="0" workbookViewId="0" topLeftCell="A1">
      <selection activeCell="G29" sqref="G29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11.140625" style="0" bestFit="1" customWidth="1"/>
    <col min="4" max="4" width="11.8515625" style="0" customWidth="1"/>
    <col min="5" max="5" width="12.00390625" style="0" customWidth="1"/>
    <col min="6" max="6" width="12.28125" style="0" bestFit="1" customWidth="1"/>
    <col min="7" max="7" width="12.140625" style="0" customWidth="1"/>
    <col min="8" max="8" width="11.8515625" style="0" bestFit="1" customWidth="1"/>
    <col min="9" max="9" width="4.00390625" style="0" bestFit="1" customWidth="1"/>
    <col min="10" max="10" width="9.57421875" style="0" customWidth="1"/>
    <col min="11" max="11" width="7.8515625" style="0" customWidth="1"/>
    <col min="12" max="12" width="9.57421875" style="0" customWidth="1"/>
    <col min="13" max="13" width="7.7109375" style="0" customWidth="1"/>
    <col min="14" max="14" width="9.421875" style="0" customWidth="1"/>
    <col min="21" max="21" width="33.7109375" style="0" customWidth="1"/>
    <col min="22" max="22" width="13.57421875" style="0" customWidth="1"/>
  </cols>
  <sheetData>
    <row r="1" ht="21" customHeight="1">
      <c r="A1" s="65" t="s">
        <v>193</v>
      </c>
    </row>
    <row r="2" ht="21" customHeight="1">
      <c r="A2" s="65"/>
    </row>
    <row r="3" ht="21" customHeight="1">
      <c r="A3" s="65"/>
    </row>
    <row r="4" spans="2:24" ht="13.5">
      <c r="B4" s="7" t="s">
        <v>468</v>
      </c>
      <c r="C4" s="7">
        <v>0.8</v>
      </c>
      <c r="E4" s="68"/>
      <c r="F4" s="68"/>
      <c r="G4" s="68"/>
      <c r="H4" s="68"/>
      <c r="I4" s="68"/>
      <c r="J4" s="68"/>
      <c r="V4" s="18"/>
      <c r="W4" s="18"/>
      <c r="X4" s="18"/>
    </row>
    <row r="5" spans="2:24" ht="12.75">
      <c r="B5" s="7" t="s">
        <v>470</v>
      </c>
      <c r="C5" s="467">
        <f>IF(Bâtiments!I45=0,1.5,Bâtiments!I45)</f>
        <v>1.5</v>
      </c>
      <c r="E5" s="68"/>
      <c r="F5" s="68"/>
      <c r="G5" s="68"/>
      <c r="H5" s="68"/>
      <c r="I5" s="68"/>
      <c r="J5" s="68"/>
      <c r="V5" s="18"/>
      <c r="W5" s="18"/>
      <c r="X5" s="18"/>
    </row>
    <row r="7" spans="1:8" ht="25.5" customHeight="1">
      <c r="A7" s="676"/>
      <c r="B7" s="66"/>
      <c r="C7" s="1029" t="s">
        <v>535</v>
      </c>
      <c r="D7" s="1030"/>
      <c r="E7" s="1029" t="s">
        <v>538</v>
      </c>
      <c r="F7" s="1031"/>
      <c r="G7" s="1031"/>
      <c r="H7" s="1030"/>
    </row>
    <row r="8" spans="1:8" ht="39">
      <c r="A8" s="676"/>
      <c r="B8" s="66" t="s">
        <v>241</v>
      </c>
      <c r="C8" s="820" t="s">
        <v>532</v>
      </c>
      <c r="D8" s="820" t="s">
        <v>533</v>
      </c>
      <c r="E8" s="820" t="s">
        <v>536</v>
      </c>
      <c r="F8" s="820" t="s">
        <v>533</v>
      </c>
      <c r="G8" s="820" t="s">
        <v>534</v>
      </c>
      <c r="H8" s="820" t="s">
        <v>537</v>
      </c>
    </row>
    <row r="9" spans="1:8" ht="12.75">
      <c r="A9" s="676"/>
      <c r="B9" s="61" t="s">
        <v>471</v>
      </c>
      <c r="C9">
        <v>8.9</v>
      </c>
      <c r="E9" s="68">
        <v>21</v>
      </c>
      <c r="F9" s="819">
        <v>0.76</v>
      </c>
      <c r="G9" s="819">
        <v>0.5</v>
      </c>
      <c r="H9" s="819">
        <v>0.24</v>
      </c>
    </row>
    <row r="10" spans="1:8" ht="12.75">
      <c r="A10" s="838"/>
      <c r="B10" s="39" t="s">
        <v>469</v>
      </c>
      <c r="C10" s="833">
        <f>ROUND(($C$9/$C$4/$C$5),1)</f>
        <v>7.4</v>
      </c>
      <c r="D10" s="833">
        <f>$C$10*1.25</f>
        <v>9.25</v>
      </c>
      <c r="E10" s="833">
        <f>$E$9/$C$4/C5</f>
        <v>17.5</v>
      </c>
      <c r="F10" s="833">
        <f>$E$10*F9</f>
        <v>13.3</v>
      </c>
      <c r="G10" s="833">
        <f>$E$10*G9</f>
        <v>8.75</v>
      </c>
      <c r="H10" s="833">
        <f>$E$10*H9</f>
        <v>4.2</v>
      </c>
    </row>
    <row r="11" spans="1:24" ht="12.75">
      <c r="A11" s="4"/>
      <c r="B11" s="7"/>
      <c r="C11" s="467">
        <v>8</v>
      </c>
      <c r="D11">
        <v>9</v>
      </c>
      <c r="E11" s="68">
        <v>18</v>
      </c>
      <c r="F11" s="68">
        <v>13</v>
      </c>
      <c r="G11" s="68">
        <v>9</v>
      </c>
      <c r="H11" s="68">
        <v>4</v>
      </c>
      <c r="I11" s="68"/>
      <c r="J11" s="68"/>
      <c r="V11" s="18"/>
      <c r="W11" s="18"/>
      <c r="X11" s="18"/>
    </row>
    <row r="12" spans="1:17" ht="13.5">
      <c r="A12" s="839"/>
      <c r="B12" s="837"/>
      <c r="O12" s="18"/>
      <c r="P12" s="18"/>
      <c r="Q12" s="18"/>
    </row>
    <row r="13" spans="1:9" ht="55.5" customHeight="1">
      <c r="A13" s="4"/>
      <c r="B13" s="842" t="s">
        <v>219</v>
      </c>
      <c r="C13" s="836" t="s">
        <v>472</v>
      </c>
      <c r="D13" s="1025" t="s">
        <v>473</v>
      </c>
      <c r="E13" s="1026"/>
      <c r="F13" s="1025" t="s">
        <v>475</v>
      </c>
      <c r="G13" s="1026"/>
      <c r="H13" s="1025" t="s">
        <v>474</v>
      </c>
      <c r="I13" s="1026"/>
    </row>
    <row r="14" spans="1:9" ht="12.75">
      <c r="A14" s="676"/>
      <c r="B14" s="457"/>
      <c r="C14" s="64"/>
      <c r="D14" s="503"/>
      <c r="E14" s="685"/>
      <c r="F14" s="685"/>
      <c r="G14" s="832"/>
      <c r="H14" s="1032">
        <v>1</v>
      </c>
      <c r="I14" s="1033"/>
    </row>
    <row r="15" spans="1:9" ht="12.75">
      <c r="A15" s="676"/>
      <c r="B15" s="455" t="s">
        <v>484</v>
      </c>
      <c r="C15" s="830">
        <v>0</v>
      </c>
      <c r="D15" s="830">
        <f>$D$17/$C$17</f>
        <v>0.85</v>
      </c>
      <c r="E15" s="830">
        <v>0.17</v>
      </c>
      <c r="F15" s="830">
        <f>$F$17/$C$17</f>
        <v>0.5</v>
      </c>
      <c r="G15" s="830">
        <f>0.7/1.2</f>
        <v>0.5833333333333334</v>
      </c>
      <c r="H15" s="1034"/>
      <c r="I15" s="1035"/>
    </row>
    <row r="16" spans="1:9" ht="12.75">
      <c r="A16" s="840"/>
      <c r="B16" s="458"/>
      <c r="C16" s="304"/>
      <c r="D16" s="508" t="s">
        <v>217</v>
      </c>
      <c r="E16" s="461" t="s">
        <v>218</v>
      </c>
      <c r="F16" s="461" t="s">
        <v>188</v>
      </c>
      <c r="G16" s="461" t="s">
        <v>187</v>
      </c>
      <c r="H16" s="1036"/>
      <c r="I16" s="1037"/>
    </row>
    <row r="17" spans="1:9" ht="12.75">
      <c r="A17" s="841"/>
      <c r="B17" s="471" t="s">
        <v>457</v>
      </c>
      <c r="C17" s="829">
        <v>1.6</v>
      </c>
      <c r="D17" s="829">
        <f>1.7*0.8</f>
        <v>1.36</v>
      </c>
      <c r="E17" s="466">
        <v>0.2</v>
      </c>
      <c r="F17" s="465">
        <f>1*0.8</f>
        <v>0.8</v>
      </c>
      <c r="G17" s="833">
        <f>I17*G15</f>
        <v>0.7000000000000001</v>
      </c>
      <c r="H17" s="833">
        <v>0</v>
      </c>
      <c r="I17" s="465">
        <v>1.2</v>
      </c>
    </row>
    <row r="18" spans="4:9" ht="12.75">
      <c r="D18" s="834" t="s">
        <v>459</v>
      </c>
      <c r="E18" s="835">
        <f>E17/C4/C5</f>
        <v>0.16666666666666666</v>
      </c>
      <c r="F18" s="831" t="s">
        <v>458</v>
      </c>
      <c r="G18" s="835">
        <f>G17/C4/C5</f>
        <v>0.5833333333333334</v>
      </c>
      <c r="H18" s="834" t="s">
        <v>458</v>
      </c>
      <c r="I18" s="835">
        <f>I17/C4/C5</f>
        <v>0.9999999999999999</v>
      </c>
    </row>
    <row r="19" ht="12.75">
      <c r="A19" s="4"/>
    </row>
    <row r="20" spans="1:6" ht="12.75">
      <c r="A20" s="63"/>
      <c r="B20" s="63"/>
      <c r="C20" s="63"/>
      <c r="D20" s="63"/>
      <c r="E20" s="584"/>
      <c r="F20" s="808"/>
    </row>
    <row r="21" spans="10:24" ht="12.75">
      <c r="J21" s="451"/>
      <c r="L21" s="425"/>
      <c r="U21" s="18"/>
      <c r="V21" s="18"/>
      <c r="W21" s="18"/>
      <c r="X21" s="18"/>
    </row>
    <row r="22" spans="1:23" ht="66">
      <c r="A22" s="823"/>
      <c r="B22" s="824" t="s">
        <v>194</v>
      </c>
      <c r="C22" s="826" t="s">
        <v>220</v>
      </c>
      <c r="D22" s="809" t="s">
        <v>476</v>
      </c>
      <c r="E22" s="809" t="s">
        <v>477</v>
      </c>
      <c r="F22" s="809" t="s">
        <v>478</v>
      </c>
      <c r="I22" s="451"/>
      <c r="T22" s="18"/>
      <c r="U22" s="18"/>
      <c r="V22" s="18"/>
      <c r="W22" s="18"/>
    </row>
    <row r="23" spans="2:7" ht="12.75">
      <c r="B23" s="828" t="s">
        <v>482</v>
      </c>
      <c r="C23" s="61"/>
      <c r="D23" s="465">
        <v>4</v>
      </c>
      <c r="E23" s="465">
        <v>2</v>
      </c>
      <c r="F23" s="465">
        <v>2</v>
      </c>
      <c r="G23" s="452"/>
    </row>
    <row r="24" spans="1:7" ht="12.75">
      <c r="A24" s="823"/>
      <c r="B24" s="825" t="s">
        <v>481</v>
      </c>
      <c r="C24" s="827">
        <v>1</v>
      </c>
      <c r="D24" s="827">
        <f>(D$23/C4/C5)</f>
        <v>3.3333333333333335</v>
      </c>
      <c r="E24" s="827">
        <f>(E$23)/C4/C5</f>
        <v>1.6666666666666667</v>
      </c>
      <c r="F24" s="827">
        <f>(F$23)/C4/C5</f>
        <v>1.6666666666666667</v>
      </c>
      <c r="G24" s="454"/>
    </row>
    <row r="25" spans="1:8" ht="12.75">
      <c r="A25" s="4"/>
      <c r="B25" s="24"/>
      <c r="C25" s="6"/>
      <c r="D25" s="822"/>
      <c r="E25" s="822"/>
      <c r="F25" s="822"/>
      <c r="G25" s="822"/>
      <c r="H25" s="454"/>
    </row>
    <row r="26" spans="1:8" ht="12.75">
      <c r="A26" s="4"/>
      <c r="B26" s="24"/>
      <c r="C26" s="6"/>
      <c r="D26" s="822"/>
      <c r="E26" s="822"/>
      <c r="F26" s="822"/>
      <c r="G26" s="822"/>
      <c r="H26" s="454"/>
    </row>
    <row r="27" spans="1:8" ht="12.75">
      <c r="A27" s="4"/>
      <c r="B27" s="24"/>
      <c r="C27" s="6"/>
      <c r="D27" s="822"/>
      <c r="E27" s="822"/>
      <c r="F27" s="822"/>
      <c r="G27" s="822"/>
      <c r="H27" s="454"/>
    </row>
    <row r="28" spans="8:256" s="4" customFormat="1" ht="12.75">
      <c r="H28" s="454"/>
      <c r="J28" s="5"/>
      <c r="K28" s="451"/>
      <c r="L28" s="453"/>
      <c r="M28" s="453"/>
      <c r="N28" s="453"/>
      <c r="O28" s="453"/>
      <c r="P28" s="454"/>
      <c r="R28" s="5"/>
      <c r="S28" s="451"/>
      <c r="T28" s="453"/>
      <c r="U28" s="453"/>
      <c r="V28" s="453"/>
      <c r="W28" s="453"/>
      <c r="X28" s="454"/>
      <c r="Z28" s="5"/>
      <c r="AA28" s="451"/>
      <c r="AB28" s="453"/>
      <c r="AC28" s="453"/>
      <c r="AD28" s="453"/>
      <c r="AE28" s="453"/>
      <c r="AF28" s="454"/>
      <c r="AH28" s="5"/>
      <c r="AI28" s="451"/>
      <c r="AJ28" s="453"/>
      <c r="AK28" s="453"/>
      <c r="AL28" s="453"/>
      <c r="AM28" s="453"/>
      <c r="AN28" s="454"/>
      <c r="AP28" s="5"/>
      <c r="AQ28" s="451"/>
      <c r="AR28" s="453"/>
      <c r="AS28" s="453"/>
      <c r="AT28" s="453"/>
      <c r="AU28" s="453"/>
      <c r="AV28" s="454"/>
      <c r="AX28" s="5"/>
      <c r="AY28" s="451"/>
      <c r="AZ28" s="453"/>
      <c r="BA28" s="453"/>
      <c r="BB28" s="453"/>
      <c r="BC28" s="453"/>
      <c r="BD28" s="454"/>
      <c r="BF28" s="5"/>
      <c r="BG28" s="451"/>
      <c r="BH28" s="453"/>
      <c r="BI28" s="453"/>
      <c r="BJ28" s="453"/>
      <c r="BK28" s="453"/>
      <c r="BL28" s="454"/>
      <c r="BN28" s="5"/>
      <c r="BO28" s="451"/>
      <c r="BP28" s="453"/>
      <c r="BQ28" s="453"/>
      <c r="BR28" s="453"/>
      <c r="BS28" s="453"/>
      <c r="BT28" s="454"/>
      <c r="BV28" s="5"/>
      <c r="BW28" s="451"/>
      <c r="BX28" s="453"/>
      <c r="BY28" s="453"/>
      <c r="BZ28" s="453"/>
      <c r="CA28" s="453"/>
      <c r="CB28" s="454"/>
      <c r="CD28" s="5"/>
      <c r="CE28" s="451"/>
      <c r="CF28" s="453"/>
      <c r="CG28" s="453"/>
      <c r="CH28" s="453"/>
      <c r="CI28" s="453"/>
      <c r="CJ28" s="454"/>
      <c r="CL28" s="5"/>
      <c r="CM28" s="451"/>
      <c r="CN28" s="453"/>
      <c r="CO28" s="453"/>
      <c r="CP28" s="453"/>
      <c r="CQ28" s="453"/>
      <c r="CR28" s="454"/>
      <c r="CT28" s="5"/>
      <c r="CU28" s="451"/>
      <c r="CV28" s="453"/>
      <c r="CW28" s="453"/>
      <c r="CX28" s="453"/>
      <c r="CY28" s="453"/>
      <c r="CZ28" s="454"/>
      <c r="DB28" s="5"/>
      <c r="DC28" s="451"/>
      <c r="DD28" s="453"/>
      <c r="DE28" s="453"/>
      <c r="DF28" s="453"/>
      <c r="DG28" s="453"/>
      <c r="DH28" s="454"/>
      <c r="DJ28" s="5"/>
      <c r="DK28" s="451"/>
      <c r="DL28" s="453"/>
      <c r="DM28" s="453"/>
      <c r="DN28" s="453"/>
      <c r="DO28" s="453"/>
      <c r="DP28" s="454"/>
      <c r="DR28" s="5"/>
      <c r="DS28" s="451"/>
      <c r="DT28" s="453"/>
      <c r="DU28" s="453"/>
      <c r="DV28" s="453"/>
      <c r="DW28" s="453"/>
      <c r="DX28" s="454"/>
      <c r="DZ28" s="5"/>
      <c r="EA28" s="451"/>
      <c r="EB28" s="453"/>
      <c r="EC28" s="453"/>
      <c r="ED28" s="453"/>
      <c r="EE28" s="453"/>
      <c r="EF28" s="454"/>
      <c r="EH28" s="5"/>
      <c r="EI28" s="451"/>
      <c r="EJ28" s="453"/>
      <c r="EK28" s="453"/>
      <c r="EL28" s="453"/>
      <c r="EM28" s="453"/>
      <c r="EN28" s="454"/>
      <c r="EP28" s="5"/>
      <c r="EQ28" s="451"/>
      <c r="ER28" s="453"/>
      <c r="ES28" s="453"/>
      <c r="ET28" s="453"/>
      <c r="EU28" s="453"/>
      <c r="EV28" s="454"/>
      <c r="EX28" s="5"/>
      <c r="EY28" s="451"/>
      <c r="EZ28" s="453"/>
      <c r="FA28" s="453"/>
      <c r="FB28" s="453"/>
      <c r="FC28" s="453"/>
      <c r="FD28" s="454"/>
      <c r="FF28" s="5"/>
      <c r="FG28" s="451"/>
      <c r="FH28" s="453"/>
      <c r="FI28" s="453"/>
      <c r="FJ28" s="453"/>
      <c r="FK28" s="453"/>
      <c r="FL28" s="454"/>
      <c r="FN28" s="5"/>
      <c r="FO28" s="451"/>
      <c r="FP28" s="453"/>
      <c r="FQ28" s="453"/>
      <c r="FR28" s="453"/>
      <c r="FS28" s="453"/>
      <c r="FT28" s="454"/>
      <c r="FV28" s="5"/>
      <c r="FW28" s="451"/>
      <c r="FX28" s="453"/>
      <c r="FY28" s="453"/>
      <c r="FZ28" s="453"/>
      <c r="GA28" s="453"/>
      <c r="GB28" s="454"/>
      <c r="GD28" s="5"/>
      <c r="GE28" s="451"/>
      <c r="GF28" s="453"/>
      <c r="GG28" s="453"/>
      <c r="GH28" s="453"/>
      <c r="GI28" s="453"/>
      <c r="GJ28" s="454"/>
      <c r="GL28" s="5"/>
      <c r="GM28" s="451"/>
      <c r="GN28" s="453"/>
      <c r="GO28" s="453"/>
      <c r="GP28" s="453"/>
      <c r="GQ28" s="453"/>
      <c r="GR28" s="454"/>
      <c r="GT28" s="5"/>
      <c r="GU28" s="451"/>
      <c r="GV28" s="453"/>
      <c r="GW28" s="453"/>
      <c r="GX28" s="453"/>
      <c r="GY28" s="453"/>
      <c r="GZ28" s="454"/>
      <c r="HB28" s="5"/>
      <c r="HC28" s="451"/>
      <c r="HD28" s="453"/>
      <c r="HE28" s="453"/>
      <c r="HF28" s="453"/>
      <c r="HG28" s="453"/>
      <c r="HH28" s="454"/>
      <c r="HJ28" s="5"/>
      <c r="HK28" s="451"/>
      <c r="HL28" s="453"/>
      <c r="HM28" s="453"/>
      <c r="HN28" s="453"/>
      <c r="HO28" s="453"/>
      <c r="HP28" s="454"/>
      <c r="HR28" s="5"/>
      <c r="HS28" s="451"/>
      <c r="HT28" s="453"/>
      <c r="HU28" s="453"/>
      <c r="HV28" s="453"/>
      <c r="HW28" s="453"/>
      <c r="HX28" s="454"/>
      <c r="HZ28" s="5"/>
      <c r="IA28" s="451"/>
      <c r="IB28" s="453"/>
      <c r="IC28" s="453"/>
      <c r="ID28" s="453"/>
      <c r="IE28" s="453"/>
      <c r="IF28" s="454"/>
      <c r="IH28" s="5"/>
      <c r="II28" s="451"/>
      <c r="IJ28" s="453"/>
      <c r="IK28" s="453"/>
      <c r="IL28" s="453"/>
      <c r="IM28" s="453"/>
      <c r="IN28" s="454"/>
      <c r="IP28" s="5"/>
      <c r="IQ28" s="451"/>
      <c r="IR28" s="453"/>
      <c r="IS28" s="453"/>
      <c r="IT28" s="453"/>
      <c r="IU28" s="453"/>
      <c r="IV28" s="454"/>
    </row>
    <row r="29" spans="1:256" s="4" customFormat="1" ht="52.5">
      <c r="A29" s="61"/>
      <c r="B29" s="66" t="s">
        <v>196</v>
      </c>
      <c r="C29" s="67" t="s">
        <v>195</v>
      </c>
      <c r="D29" s="449" t="s">
        <v>220</v>
      </c>
      <c r="E29" s="821" t="s">
        <v>479</v>
      </c>
      <c r="F29" s="821" t="s">
        <v>480</v>
      </c>
      <c r="H29" s="454"/>
      <c r="J29" s="24"/>
      <c r="K29" s="451"/>
      <c r="L29" s="453"/>
      <c r="M29" s="453"/>
      <c r="N29" s="453"/>
      <c r="O29" s="453"/>
      <c r="P29" s="454"/>
      <c r="R29" s="24"/>
      <c r="S29" s="451"/>
      <c r="T29" s="453"/>
      <c r="U29" s="453"/>
      <c r="V29" s="453"/>
      <c r="W29" s="453"/>
      <c r="X29" s="454"/>
      <c r="Z29" s="24"/>
      <c r="AA29" s="451"/>
      <c r="AB29" s="453"/>
      <c r="AC29" s="453"/>
      <c r="AD29" s="453"/>
      <c r="AE29" s="453"/>
      <c r="AF29" s="454"/>
      <c r="AH29" s="24"/>
      <c r="AI29" s="451"/>
      <c r="AJ29" s="453"/>
      <c r="AK29" s="453"/>
      <c r="AL29" s="453"/>
      <c r="AM29" s="453"/>
      <c r="AN29" s="454"/>
      <c r="AP29" s="24"/>
      <c r="AQ29" s="451"/>
      <c r="AR29" s="453"/>
      <c r="AS29" s="453"/>
      <c r="AT29" s="453"/>
      <c r="AU29" s="453"/>
      <c r="AV29" s="454"/>
      <c r="AX29" s="24"/>
      <c r="AY29" s="451"/>
      <c r="AZ29" s="453"/>
      <c r="BA29" s="453"/>
      <c r="BB29" s="453"/>
      <c r="BC29" s="453"/>
      <c r="BD29" s="454"/>
      <c r="BF29" s="24"/>
      <c r="BG29" s="451"/>
      <c r="BH29" s="453"/>
      <c r="BI29" s="453"/>
      <c r="BJ29" s="453"/>
      <c r="BK29" s="453"/>
      <c r="BL29" s="454"/>
      <c r="BN29" s="24"/>
      <c r="BO29" s="451"/>
      <c r="BP29" s="453"/>
      <c r="BQ29" s="453"/>
      <c r="BR29" s="453"/>
      <c r="BS29" s="453"/>
      <c r="BT29" s="454"/>
      <c r="BV29" s="24"/>
      <c r="BW29" s="451"/>
      <c r="BX29" s="453"/>
      <c r="BY29" s="453"/>
      <c r="BZ29" s="453"/>
      <c r="CA29" s="453"/>
      <c r="CB29" s="454"/>
      <c r="CD29" s="24"/>
      <c r="CE29" s="451"/>
      <c r="CF29" s="453"/>
      <c r="CG29" s="453"/>
      <c r="CH29" s="453"/>
      <c r="CI29" s="453"/>
      <c r="CJ29" s="454"/>
      <c r="CL29" s="24"/>
      <c r="CM29" s="451"/>
      <c r="CN29" s="453"/>
      <c r="CO29" s="453"/>
      <c r="CP29" s="453"/>
      <c r="CQ29" s="453"/>
      <c r="CR29" s="454"/>
      <c r="CT29" s="24"/>
      <c r="CU29" s="451"/>
      <c r="CV29" s="453"/>
      <c r="CW29" s="453"/>
      <c r="CX29" s="453"/>
      <c r="CY29" s="453"/>
      <c r="CZ29" s="454"/>
      <c r="DB29" s="24"/>
      <c r="DC29" s="451"/>
      <c r="DD29" s="453"/>
      <c r="DE29" s="453"/>
      <c r="DF29" s="453"/>
      <c r="DG29" s="453"/>
      <c r="DH29" s="454"/>
      <c r="DJ29" s="24"/>
      <c r="DK29" s="451"/>
      <c r="DL29" s="453"/>
      <c r="DM29" s="453"/>
      <c r="DN29" s="453"/>
      <c r="DO29" s="453"/>
      <c r="DP29" s="454"/>
      <c r="DR29" s="24"/>
      <c r="DS29" s="451"/>
      <c r="DT29" s="453"/>
      <c r="DU29" s="453"/>
      <c r="DV29" s="453"/>
      <c r="DW29" s="453"/>
      <c r="DX29" s="454"/>
      <c r="DZ29" s="24"/>
      <c r="EA29" s="451"/>
      <c r="EB29" s="453"/>
      <c r="EC29" s="453"/>
      <c r="ED29" s="453"/>
      <c r="EE29" s="453"/>
      <c r="EF29" s="454"/>
      <c r="EH29" s="24"/>
      <c r="EI29" s="451"/>
      <c r="EJ29" s="453"/>
      <c r="EK29" s="453"/>
      <c r="EL29" s="453"/>
      <c r="EM29" s="453"/>
      <c r="EN29" s="454"/>
      <c r="EP29" s="24"/>
      <c r="EQ29" s="451"/>
      <c r="ER29" s="453"/>
      <c r="ES29" s="453"/>
      <c r="ET29" s="453"/>
      <c r="EU29" s="453"/>
      <c r="EV29" s="454"/>
      <c r="EX29" s="24"/>
      <c r="EY29" s="451"/>
      <c r="EZ29" s="453"/>
      <c r="FA29" s="453"/>
      <c r="FB29" s="453"/>
      <c r="FC29" s="453"/>
      <c r="FD29" s="454"/>
      <c r="FF29" s="24"/>
      <c r="FG29" s="451"/>
      <c r="FH29" s="453"/>
      <c r="FI29" s="453"/>
      <c r="FJ29" s="453"/>
      <c r="FK29" s="453"/>
      <c r="FL29" s="454"/>
      <c r="FN29" s="24"/>
      <c r="FO29" s="451"/>
      <c r="FP29" s="453"/>
      <c r="FQ29" s="453"/>
      <c r="FR29" s="453"/>
      <c r="FS29" s="453"/>
      <c r="FT29" s="454"/>
      <c r="FV29" s="24"/>
      <c r="FW29" s="451"/>
      <c r="FX29" s="453"/>
      <c r="FY29" s="453"/>
      <c r="FZ29" s="453"/>
      <c r="GA29" s="453"/>
      <c r="GB29" s="454"/>
      <c r="GD29" s="24"/>
      <c r="GE29" s="451"/>
      <c r="GF29" s="453"/>
      <c r="GG29" s="453"/>
      <c r="GH29" s="453"/>
      <c r="GI29" s="453"/>
      <c r="GJ29" s="454"/>
      <c r="GL29" s="24"/>
      <c r="GM29" s="451"/>
      <c r="GN29" s="453"/>
      <c r="GO29" s="453"/>
      <c r="GP29" s="453"/>
      <c r="GQ29" s="453"/>
      <c r="GR29" s="454"/>
      <c r="GT29" s="24"/>
      <c r="GU29" s="451"/>
      <c r="GV29" s="453"/>
      <c r="GW29" s="453"/>
      <c r="GX29" s="453"/>
      <c r="GY29" s="453"/>
      <c r="GZ29" s="454"/>
      <c r="HB29" s="24"/>
      <c r="HC29" s="451"/>
      <c r="HD29" s="453"/>
      <c r="HE29" s="453"/>
      <c r="HF29" s="453"/>
      <c r="HG29" s="453"/>
      <c r="HH29" s="454"/>
      <c r="HJ29" s="24"/>
      <c r="HK29" s="451"/>
      <c r="HL29" s="453"/>
      <c r="HM29" s="453"/>
      <c r="HN29" s="453"/>
      <c r="HO29" s="453"/>
      <c r="HP29" s="454"/>
      <c r="HR29" s="24"/>
      <c r="HS29" s="451"/>
      <c r="HT29" s="453"/>
      <c r="HU29" s="453"/>
      <c r="HV29" s="453"/>
      <c r="HW29" s="453"/>
      <c r="HX29" s="454"/>
      <c r="HZ29" s="24"/>
      <c r="IA29" s="451"/>
      <c r="IB29" s="453"/>
      <c r="IC29" s="453"/>
      <c r="ID29" s="453"/>
      <c r="IE29" s="453"/>
      <c r="IF29" s="454"/>
      <c r="IH29" s="24"/>
      <c r="II29" s="451"/>
      <c r="IJ29" s="453"/>
      <c r="IK29" s="453"/>
      <c r="IL29" s="453"/>
      <c r="IM29" s="453"/>
      <c r="IN29" s="454"/>
      <c r="IP29" s="24"/>
      <c r="IQ29" s="451"/>
      <c r="IR29" s="453"/>
      <c r="IS29" s="453"/>
      <c r="IT29" s="453"/>
      <c r="IU29" s="453"/>
      <c r="IV29" s="454"/>
    </row>
    <row r="30" spans="1:8" ht="12.75">
      <c r="A30" s="43"/>
      <c r="B30" s="39" t="s">
        <v>264</v>
      </c>
      <c r="C30" s="468">
        <v>1</v>
      </c>
      <c r="D30" s="469">
        <v>1</v>
      </c>
      <c r="E30" s="470">
        <f>$C$62/C4/C5</f>
        <v>10</v>
      </c>
      <c r="F30" s="470">
        <f>$C$61/C4/C5</f>
        <v>8.333333333333334</v>
      </c>
      <c r="G30" s="4"/>
      <c r="H30" s="454"/>
    </row>
    <row r="31" spans="1:8" ht="12.75">
      <c r="A31" s="43"/>
      <c r="B31" s="39" t="s">
        <v>94</v>
      </c>
      <c r="C31" s="468">
        <v>1</v>
      </c>
      <c r="D31" s="469">
        <v>0.7</v>
      </c>
      <c r="E31" s="470">
        <f>$E$30*$D31</f>
        <v>7</v>
      </c>
      <c r="F31" s="470">
        <f>$F$30*$D31</f>
        <v>5.833333333333333</v>
      </c>
      <c r="G31" s="4"/>
      <c r="H31" s="454"/>
    </row>
    <row r="32" spans="1:8" ht="12.75">
      <c r="A32" s="43"/>
      <c r="B32" s="43" t="s">
        <v>95</v>
      </c>
      <c r="C32" s="468">
        <v>1</v>
      </c>
      <c r="D32" s="469">
        <v>0.5</v>
      </c>
      <c r="E32" s="470">
        <f>$E$30*$D32</f>
        <v>5</v>
      </c>
      <c r="F32" s="470">
        <f>$F$30*$D32</f>
        <v>4.166666666666667</v>
      </c>
      <c r="G32" s="4"/>
      <c r="H32" s="454"/>
    </row>
    <row r="33" spans="1:7" ht="12.75">
      <c r="A33" s="43"/>
      <c r="B33" s="39" t="s">
        <v>96</v>
      </c>
      <c r="C33" s="468">
        <v>1</v>
      </c>
      <c r="D33" s="469">
        <v>0.4</v>
      </c>
      <c r="E33" s="470">
        <f>$E$30*$D33</f>
        <v>4</v>
      </c>
      <c r="F33" s="470">
        <f>$F$30*$D33</f>
        <v>3.333333333333334</v>
      </c>
      <c r="G33" s="4"/>
    </row>
    <row r="34" spans="1:6" ht="12.75">
      <c r="A34" s="43"/>
      <c r="B34" s="43" t="s">
        <v>97</v>
      </c>
      <c r="C34" s="468">
        <v>1</v>
      </c>
      <c r="D34" s="469">
        <v>0.25</v>
      </c>
      <c r="E34" s="470">
        <f>$E$30*$D34</f>
        <v>2.5</v>
      </c>
      <c r="F34" s="470">
        <f>$F$30*$D34</f>
        <v>2.0833333333333335</v>
      </c>
    </row>
    <row r="35" ht="12.75">
      <c r="F35" s="4"/>
    </row>
    <row r="36" spans="1:7" ht="39">
      <c r="A36" s="61"/>
      <c r="B36" s="66" t="s">
        <v>197</v>
      </c>
      <c r="C36" s="67" t="s">
        <v>195</v>
      </c>
      <c r="D36" s="67" t="s">
        <v>488</v>
      </c>
      <c r="E36" s="449" t="s">
        <v>485</v>
      </c>
      <c r="F36" s="821" t="s">
        <v>487</v>
      </c>
      <c r="G36" s="455"/>
    </row>
    <row r="37" spans="1:6" ht="12.75">
      <c r="A37" s="43"/>
      <c r="B37" s="39" t="s">
        <v>254</v>
      </c>
      <c r="C37" s="468">
        <v>1</v>
      </c>
      <c r="D37" s="468">
        <v>0.25</v>
      </c>
      <c r="E37" s="470">
        <v>2.3</v>
      </c>
      <c r="F37" s="470">
        <f>E37/$C$4/$C$5/D37</f>
        <v>7.666666666666665</v>
      </c>
    </row>
    <row r="38" spans="1:6" ht="12.75">
      <c r="A38" s="43"/>
      <c r="B38" s="39" t="s">
        <v>98</v>
      </c>
      <c r="C38" s="468">
        <v>1</v>
      </c>
      <c r="D38" s="468">
        <v>0.17</v>
      </c>
      <c r="E38" s="470">
        <v>1.7</v>
      </c>
      <c r="F38" s="470">
        <f>E38/$C$4/$C$5/D38</f>
        <v>8.333333333333334</v>
      </c>
    </row>
    <row r="39" spans="1:6" ht="12.75">
      <c r="A39" s="43"/>
      <c r="B39" s="43" t="s">
        <v>255</v>
      </c>
      <c r="C39" s="468">
        <v>1</v>
      </c>
      <c r="D39" s="469">
        <v>0.2</v>
      </c>
      <c r="E39" s="470">
        <v>1.6</v>
      </c>
      <c r="F39" s="470">
        <f>E39/$C$4/$C$5/D39</f>
        <v>6.666666666666666</v>
      </c>
    </row>
    <row r="40" spans="6:7" ht="12.75">
      <c r="F40" s="4"/>
      <c r="G40" s="451"/>
    </row>
    <row r="41" spans="1:7" ht="39.75" customHeight="1">
      <c r="A41" s="61"/>
      <c r="B41" s="66" t="s">
        <v>192</v>
      </c>
      <c r="C41" s="67" t="s">
        <v>195</v>
      </c>
      <c r="D41" s="449" t="s">
        <v>220</v>
      </c>
      <c r="E41" s="1038" t="s">
        <v>483</v>
      </c>
      <c r="F41" s="1039"/>
      <c r="G41" s="451"/>
    </row>
    <row r="42" spans="1:7" ht="12.75">
      <c r="A42" s="43"/>
      <c r="B42" s="43" t="s">
        <v>189</v>
      </c>
      <c r="C42" s="468">
        <v>1</v>
      </c>
      <c r="D42" s="469">
        <v>0.8</v>
      </c>
      <c r="E42" s="1027">
        <v>6.4</v>
      </c>
      <c r="F42" s="1028"/>
      <c r="G42" s="451"/>
    </row>
    <row r="43" spans="1:7" ht="12.75">
      <c r="A43" s="43"/>
      <c r="B43" s="43" t="s">
        <v>190</v>
      </c>
      <c r="C43" s="468">
        <v>1</v>
      </c>
      <c r="D43" s="469">
        <v>0.4</v>
      </c>
      <c r="E43" s="1027">
        <v>3.2</v>
      </c>
      <c r="F43" s="1028"/>
      <c r="G43" s="451"/>
    </row>
    <row r="44" spans="1:7" ht="12.75">
      <c r="A44" s="43"/>
      <c r="B44" s="43" t="s">
        <v>273</v>
      </c>
      <c r="C44" s="468">
        <v>1</v>
      </c>
      <c r="D44" s="469">
        <v>0.1</v>
      </c>
      <c r="E44" s="1027">
        <v>0.8</v>
      </c>
      <c r="F44" s="1028"/>
      <c r="G44" s="4"/>
    </row>
    <row r="45" spans="1:7" ht="12.75">
      <c r="A45" s="43"/>
      <c r="B45" s="43" t="s">
        <v>274</v>
      </c>
      <c r="C45" s="468">
        <v>1</v>
      </c>
      <c r="D45" s="469">
        <v>0.2</v>
      </c>
      <c r="E45" s="1027">
        <v>1.6</v>
      </c>
      <c r="F45" s="1028"/>
      <c r="G45" s="452"/>
    </row>
    <row r="46" spans="1:7" ht="12.75">
      <c r="A46" s="43"/>
      <c r="B46" s="43" t="s">
        <v>191</v>
      </c>
      <c r="C46" s="468">
        <v>1</v>
      </c>
      <c r="D46" s="469">
        <v>0.11</v>
      </c>
      <c r="E46" s="1027">
        <v>0.88</v>
      </c>
      <c r="F46" s="1028"/>
      <c r="G46" s="451"/>
    </row>
    <row r="47" spans="1:7" ht="12.75">
      <c r="A47" s="43"/>
      <c r="B47" s="43" t="s">
        <v>192</v>
      </c>
      <c r="C47" s="468">
        <v>1</v>
      </c>
      <c r="D47" s="469">
        <v>0</v>
      </c>
      <c r="E47" s="1027">
        <v>0</v>
      </c>
      <c r="F47" s="1028"/>
      <c r="G47" s="451"/>
    </row>
    <row r="48" ht="12.75">
      <c r="G48" s="451"/>
    </row>
    <row r="50" spans="1:6" ht="12.75">
      <c r="A50" s="63"/>
      <c r="B50" s="63"/>
      <c r="C50" s="63"/>
      <c r="D50" s="63"/>
      <c r="E50" s="584"/>
      <c r="F50" s="808"/>
    </row>
    <row r="51" spans="1:7" ht="15">
      <c r="A51" s="448" t="s">
        <v>198</v>
      </c>
      <c r="C51" s="448"/>
      <c r="G51" s="63" t="s">
        <v>186</v>
      </c>
    </row>
    <row r="52" spans="1:6" ht="12.75">
      <c r="A52" s="425"/>
      <c r="B52" s="425"/>
      <c r="C52" s="425"/>
      <c r="D52" s="425"/>
      <c r="E52" s="425"/>
      <c r="F52" s="425"/>
    </row>
    <row r="53" spans="1:6" ht="12.75">
      <c r="A53" s="501" t="s">
        <v>199</v>
      </c>
      <c r="B53" s="502"/>
      <c r="C53" s="503" t="s">
        <v>201</v>
      </c>
      <c r="D53" s="504" t="s">
        <v>276</v>
      </c>
      <c r="E53" s="505"/>
      <c r="F53" s="506"/>
    </row>
    <row r="54" spans="1:14" ht="12.75">
      <c r="A54" s="458" t="s">
        <v>200</v>
      </c>
      <c r="B54" s="507"/>
      <c r="C54" s="508" t="s">
        <v>202</v>
      </c>
      <c r="D54" s="509"/>
      <c r="E54" s="510" t="s">
        <v>203</v>
      </c>
      <c r="F54" s="511"/>
      <c r="H54" s="4"/>
      <c r="I54" s="4"/>
      <c r="J54" s="4"/>
      <c r="K54" s="4"/>
      <c r="L54" s="4"/>
      <c r="M54" s="4"/>
      <c r="N54" s="4"/>
    </row>
    <row r="55" spans="1:14" ht="12.75">
      <c r="A55" s="425"/>
      <c r="B55" s="425"/>
      <c r="C55" s="512" t="s">
        <v>242</v>
      </c>
      <c r="D55" s="492" t="s">
        <v>204</v>
      </c>
      <c r="E55" s="513" t="s">
        <v>205</v>
      </c>
      <c r="F55" s="513" t="s">
        <v>206</v>
      </c>
      <c r="H55" s="4"/>
      <c r="I55" s="4"/>
      <c r="J55" s="4"/>
      <c r="K55" s="4"/>
      <c r="L55" s="4"/>
      <c r="M55" s="4"/>
      <c r="N55" s="4"/>
    </row>
    <row r="56" spans="1:14" ht="12.75">
      <c r="A56" s="514" t="s">
        <v>209</v>
      </c>
      <c r="B56" s="515"/>
      <c r="C56" s="515"/>
      <c r="D56" s="515"/>
      <c r="E56" s="515"/>
      <c r="F56" s="516"/>
      <c r="H56" s="4"/>
      <c r="I56" s="4"/>
      <c r="J56" s="4"/>
      <c r="K56" s="4"/>
      <c r="L56" s="4"/>
      <c r="M56" s="4"/>
      <c r="N56" s="4"/>
    </row>
    <row r="57" spans="1:14" ht="12.75">
      <c r="A57" s="1022" t="s">
        <v>207</v>
      </c>
      <c r="B57" s="1022"/>
      <c r="C57" s="472">
        <v>8.5</v>
      </c>
      <c r="D57" s="556">
        <v>5</v>
      </c>
      <c r="E57" s="472">
        <f>$D57*1.5</f>
        <v>7.5</v>
      </c>
      <c r="F57" s="557">
        <f>$D57*1.33</f>
        <v>6.65</v>
      </c>
      <c r="H57" s="4"/>
      <c r="I57" s="15"/>
      <c r="J57" s="15"/>
      <c r="K57" s="15"/>
      <c r="L57" s="573"/>
      <c r="M57" s="4"/>
      <c r="N57" s="4"/>
    </row>
    <row r="58" spans="1:14" ht="12.75">
      <c r="A58" s="1022" t="s">
        <v>208</v>
      </c>
      <c r="B58" s="1023"/>
      <c r="C58" s="558">
        <v>11</v>
      </c>
      <c r="D58" s="559">
        <v>6</v>
      </c>
      <c r="E58" s="558">
        <f>$D58*1.5</f>
        <v>9</v>
      </c>
      <c r="F58" s="560">
        <f>$D58*1.33</f>
        <v>7.98</v>
      </c>
      <c r="H58" s="4"/>
      <c r="I58" s="15"/>
      <c r="J58" s="15"/>
      <c r="K58" s="15"/>
      <c r="L58" s="573"/>
      <c r="M58" s="15"/>
      <c r="N58" s="573"/>
    </row>
    <row r="59" spans="1:14" ht="12.75">
      <c r="A59" s="425"/>
      <c r="B59" s="567"/>
      <c r="C59" s="567"/>
      <c r="D59" s="567"/>
      <c r="E59" s="568"/>
      <c r="F59" s="569"/>
      <c r="H59" s="4"/>
      <c r="I59" s="4"/>
      <c r="J59" s="4"/>
      <c r="K59" s="4"/>
      <c r="L59" s="4"/>
      <c r="M59" s="4"/>
      <c r="N59" s="4"/>
    </row>
    <row r="60" spans="1:14" ht="12.75">
      <c r="A60" s="514" t="s">
        <v>210</v>
      </c>
      <c r="B60" s="564"/>
      <c r="C60" s="564"/>
      <c r="D60" s="564"/>
      <c r="E60" s="565"/>
      <c r="F60" s="566"/>
      <c r="H60" s="4"/>
      <c r="I60" s="4"/>
      <c r="J60" s="4"/>
      <c r="K60" s="4"/>
      <c r="L60" s="4"/>
      <c r="M60" s="4"/>
      <c r="N60" s="4"/>
    </row>
    <row r="61" spans="1:14" ht="12.75">
      <c r="A61" s="1022" t="s">
        <v>185</v>
      </c>
      <c r="B61" s="1024"/>
      <c r="C61" s="561">
        <v>10</v>
      </c>
      <c r="D61" s="562">
        <v>6</v>
      </c>
      <c r="E61" s="561">
        <f>$D61*1.5</f>
        <v>9</v>
      </c>
      <c r="F61" s="563">
        <f>$D61*1.33</f>
        <v>7.98</v>
      </c>
      <c r="H61" s="4"/>
      <c r="I61" s="4"/>
      <c r="J61" s="4"/>
      <c r="K61" s="4"/>
      <c r="L61" s="4"/>
      <c r="M61" s="4"/>
      <c r="N61" s="4"/>
    </row>
    <row r="62" spans="1:14" ht="12.75">
      <c r="A62" s="1022" t="s">
        <v>211</v>
      </c>
      <c r="B62" s="1023"/>
      <c r="C62" s="558">
        <v>12</v>
      </c>
      <c r="D62" s="559">
        <v>8</v>
      </c>
      <c r="E62" s="558">
        <f>$D62*1.5</f>
        <v>12</v>
      </c>
      <c r="F62" s="560">
        <f>$D62*1.33</f>
        <v>10.64</v>
      </c>
      <c r="H62" s="4"/>
      <c r="I62" s="4"/>
      <c r="J62" s="4"/>
      <c r="K62" s="4"/>
      <c r="L62" s="4"/>
      <c r="M62" s="4"/>
      <c r="N62" s="4"/>
    </row>
    <row r="63" spans="1:14" ht="12.75">
      <c r="A63" s="425"/>
      <c r="B63" s="567"/>
      <c r="C63" s="567"/>
      <c r="D63" s="567"/>
      <c r="E63" s="568"/>
      <c r="F63" s="569"/>
      <c r="H63" s="4"/>
      <c r="I63" s="4"/>
      <c r="J63" s="4"/>
      <c r="K63" s="4"/>
      <c r="L63" s="4"/>
      <c r="M63" s="4"/>
      <c r="N63" s="4"/>
    </row>
    <row r="64" spans="1:6" ht="12.75">
      <c r="A64" s="18"/>
      <c r="B64" s="443"/>
      <c r="C64" s="425"/>
      <c r="D64" s="425"/>
      <c r="E64" s="425"/>
      <c r="F64" s="425"/>
    </row>
    <row r="65" spans="1:6" ht="12.75">
      <c r="A65" s="444"/>
      <c r="B65" s="18"/>
      <c r="C65" s="425"/>
      <c r="D65" s="425"/>
      <c r="E65" s="425"/>
      <c r="F65" s="425"/>
    </row>
    <row r="66" spans="1:2" ht="12.75">
      <c r="A66" s="445"/>
      <c r="B66" s="442"/>
    </row>
    <row r="67" spans="1:2" ht="12.75">
      <c r="A67" s="444"/>
      <c r="B67" s="443"/>
    </row>
    <row r="68" spans="1:2" ht="12.75">
      <c r="A68" s="444"/>
      <c r="B68" s="443"/>
    </row>
    <row r="69" spans="1:2" ht="12.75">
      <c r="A69" s="444"/>
      <c r="B69" s="443"/>
    </row>
    <row r="70" spans="1:4" ht="12.75">
      <c r="A70" s="18"/>
      <c r="B70" s="443"/>
      <c r="C70" s="18"/>
      <c r="D70" s="18"/>
    </row>
    <row r="71" spans="1:4" ht="12.75">
      <c r="A71" s="18"/>
      <c r="B71" s="443"/>
      <c r="C71" s="18"/>
      <c r="D71" s="18"/>
    </row>
    <row r="72" spans="1:4" ht="12.75">
      <c r="A72" s="18"/>
      <c r="B72" s="443"/>
      <c r="C72" s="18"/>
      <c r="D72" s="18"/>
    </row>
    <row r="73" spans="1:4" ht="12.75">
      <c r="A73" s="18"/>
      <c r="B73" s="443"/>
      <c r="C73" s="18"/>
      <c r="D73" s="18"/>
    </row>
    <row r="74" ht="12.75">
      <c r="B74" s="441"/>
    </row>
    <row r="75" ht="12.75">
      <c r="B75" s="441"/>
    </row>
    <row r="76" ht="12.75">
      <c r="B76" s="441"/>
    </row>
    <row r="77" ht="12.75">
      <c r="B77" s="441"/>
    </row>
    <row r="78" ht="12.75">
      <c r="B78" s="441"/>
    </row>
    <row r="79" ht="12.75">
      <c r="B79" s="441"/>
    </row>
    <row r="80" ht="12.75">
      <c r="B80" s="441"/>
    </row>
    <row r="81" ht="12.75">
      <c r="B81" s="441"/>
    </row>
    <row r="82" ht="12.75">
      <c r="B82" s="441"/>
    </row>
    <row r="83" ht="12.75">
      <c r="B83" s="441"/>
    </row>
    <row r="84" ht="12.75">
      <c r="B84" s="441"/>
    </row>
  </sheetData>
  <sheetProtection/>
  <mergeCells count="17">
    <mergeCell ref="C7:D7"/>
    <mergeCell ref="E7:H7"/>
    <mergeCell ref="H14:I16"/>
    <mergeCell ref="E44:F44"/>
    <mergeCell ref="E43:F43"/>
    <mergeCell ref="E42:F42"/>
    <mergeCell ref="E41:F41"/>
    <mergeCell ref="A62:B62"/>
    <mergeCell ref="A61:B61"/>
    <mergeCell ref="H13:I13"/>
    <mergeCell ref="F13:G13"/>
    <mergeCell ref="D13:E13"/>
    <mergeCell ref="A58:B58"/>
    <mergeCell ref="A57:B57"/>
    <mergeCell ref="E47:F47"/>
    <mergeCell ref="E46:F46"/>
    <mergeCell ref="E45:F45"/>
  </mergeCells>
  <printOptions/>
  <pageMargins left="0.25" right="0.25" top="0.1968503937007874" bottom="0.1968503937007874" header="0.46" footer="0.3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AQ677"/>
  <sheetViews>
    <sheetView showGridLines="0" showZeros="0" zoomScalePageLayoutView="0" workbookViewId="0" topLeftCell="A1">
      <pane ySplit="3" topLeftCell="A4" activePane="bottomLeft" state="frozen"/>
      <selection pane="topLeft" activeCell="Q4" sqref="Q4"/>
      <selection pane="bottomLeft" activeCell="K40" sqref="K40"/>
    </sheetView>
  </sheetViews>
  <sheetFormatPr defaultColWidth="11.421875" defaultRowHeight="12.75"/>
  <cols>
    <col min="1" max="1" width="34.140625" style="0" customWidth="1"/>
    <col min="2" max="2" width="7.00390625" style="0" customWidth="1"/>
    <col min="3" max="3" width="8.140625" style="0" customWidth="1"/>
    <col min="4" max="4" width="7.57421875" style="0" customWidth="1"/>
    <col min="5" max="5" width="7.28125" style="0" customWidth="1"/>
    <col min="6" max="6" width="8.00390625" style="0" customWidth="1"/>
    <col min="7" max="7" width="7.140625" style="0" customWidth="1"/>
    <col min="8" max="8" width="8.57421875" style="0" customWidth="1"/>
    <col min="9" max="9" width="7.8515625" style="0" customWidth="1"/>
    <col min="10" max="10" width="2.57421875" style="0" customWidth="1"/>
    <col min="11" max="11" width="29.00390625" style="0" bestFit="1" customWidth="1"/>
    <col min="12" max="12" width="6.28125" style="0" bestFit="1" customWidth="1"/>
    <col min="13" max="13" width="14.7109375" style="0" bestFit="1" customWidth="1"/>
    <col min="14" max="14" width="12.7109375" style="0" bestFit="1" customWidth="1"/>
    <col min="15" max="15" width="15.28125" style="0" bestFit="1" customWidth="1"/>
    <col min="16" max="16" width="10.28125" style="0" bestFit="1" customWidth="1"/>
    <col min="17" max="17" width="10.7109375" style="0" bestFit="1" customWidth="1"/>
    <col min="18" max="18" width="9.00390625" style="0" bestFit="1" customWidth="1"/>
    <col min="19" max="19" width="9.8515625" style="0" bestFit="1" customWidth="1"/>
    <col min="20" max="20" width="8.28125" style="0" bestFit="1" customWidth="1"/>
  </cols>
  <sheetData>
    <row r="1" spans="2:10" s="1" customFormat="1" ht="4.5" customHeight="1">
      <c r="B1" s="321"/>
      <c r="C1" s="322"/>
      <c r="D1" s="321"/>
      <c r="E1" s="322"/>
      <c r="F1" s="321"/>
      <c r="G1" s="321"/>
      <c r="H1" s="321"/>
      <c r="I1" s="321"/>
      <c r="J1" s="2"/>
    </row>
    <row r="2" spans="1:10" s="1" customFormat="1" ht="12.75">
      <c r="A2" s="76" t="s">
        <v>105</v>
      </c>
      <c r="B2" s="309"/>
      <c r="C2" s="399"/>
      <c r="D2" s="1041" t="s">
        <v>163</v>
      </c>
      <c r="E2" s="1042"/>
      <c r="F2" s="1041" t="s">
        <v>164</v>
      </c>
      <c r="G2" s="1042"/>
      <c r="H2" s="987" t="s">
        <v>165</v>
      </c>
      <c r="I2" s="988"/>
      <c r="J2" s="2"/>
    </row>
    <row r="3" spans="1:25" s="1" customFormat="1" ht="26.25" customHeight="1">
      <c r="A3" s="318" t="s">
        <v>106</v>
      </c>
      <c r="B3" s="398" t="s">
        <v>107</v>
      </c>
      <c r="C3" s="42" t="s">
        <v>108</v>
      </c>
      <c r="D3" s="400" t="s">
        <v>109</v>
      </c>
      <c r="E3" s="393" t="s">
        <v>110</v>
      </c>
      <c r="F3" s="394" t="s">
        <v>111</v>
      </c>
      <c r="G3" s="393" t="s">
        <v>130</v>
      </c>
      <c r="H3" s="405" t="s">
        <v>112</v>
      </c>
      <c r="I3" s="403" t="s">
        <v>130</v>
      </c>
      <c r="J3" s="2"/>
      <c r="W3" s="34"/>
      <c r="X3" s="34"/>
      <c r="Y3" s="34"/>
    </row>
    <row r="4" spans="1:25" s="1" customFormat="1" ht="12.75">
      <c r="A4" s="388" t="s">
        <v>113</v>
      </c>
      <c r="B4" s="316"/>
      <c r="C4" s="42"/>
      <c r="D4" s="315"/>
      <c r="E4" s="427"/>
      <c r="F4" s="424"/>
      <c r="G4" s="315"/>
      <c r="H4" s="405"/>
      <c r="I4" s="403">
        <f aca="true" t="shared" si="0" ref="I4:I12">$C4*$H4</f>
        <v>0</v>
      </c>
      <c r="J4" s="2"/>
      <c r="W4" s="34"/>
      <c r="X4" s="34"/>
      <c r="Y4" s="34"/>
    </row>
    <row r="5" spans="1:25" s="1" customFormat="1" ht="12.75">
      <c r="A5" s="389" t="s">
        <v>237</v>
      </c>
      <c r="B5" s="354" t="s">
        <v>83</v>
      </c>
      <c r="C5" s="548">
        <f>'Bétail et systèmes de garde'!$C$26</f>
        <v>0</v>
      </c>
      <c r="D5" s="496"/>
      <c r="E5" s="555">
        <f aca="true" t="shared" si="1" ref="E5:E14">$C5*$D5</f>
        <v>0</v>
      </c>
      <c r="F5" s="354">
        <v>20</v>
      </c>
      <c r="G5" s="538">
        <f aca="true" t="shared" si="2" ref="G5:G12">$C5*$F5</f>
        <v>0</v>
      </c>
      <c r="H5" s="406">
        <v>20</v>
      </c>
      <c r="I5" s="531">
        <f t="shared" si="0"/>
        <v>0</v>
      </c>
      <c r="J5" s="2"/>
      <c r="W5" s="34"/>
      <c r="X5" s="34"/>
      <c r="Y5" s="34"/>
    </row>
    <row r="6" spans="1:26" s="1" customFormat="1" ht="12.75">
      <c r="A6" s="389" t="s">
        <v>238</v>
      </c>
      <c r="B6" s="354" t="s">
        <v>83</v>
      </c>
      <c r="C6" s="548">
        <f>'Bétail et systèmes de garde'!$D$26</f>
        <v>0</v>
      </c>
      <c r="D6" s="431">
        <f>'Normes diverses'!D57</f>
        <v>5</v>
      </c>
      <c r="E6" s="544">
        <f t="shared" si="1"/>
        <v>0</v>
      </c>
      <c r="F6" s="354">
        <v>10</v>
      </c>
      <c r="G6" s="538">
        <f t="shared" si="2"/>
        <v>0</v>
      </c>
      <c r="H6" s="406">
        <v>20</v>
      </c>
      <c r="I6" s="531">
        <f t="shared" si="0"/>
        <v>0</v>
      </c>
      <c r="J6" s="2"/>
      <c r="W6" s="53"/>
      <c r="X6" s="55"/>
      <c r="Y6" s="55"/>
      <c r="Z6" s="55"/>
    </row>
    <row r="7" spans="1:26" s="1" customFormat="1" ht="12.75">
      <c r="A7" s="389" t="s">
        <v>239</v>
      </c>
      <c r="B7" s="354" t="s">
        <v>83</v>
      </c>
      <c r="C7" s="548">
        <f>'Bétail et systèmes de garde'!$E$26</f>
        <v>0</v>
      </c>
      <c r="D7" s="431">
        <v>8</v>
      </c>
      <c r="E7" s="544">
        <f t="shared" si="1"/>
        <v>0</v>
      </c>
      <c r="F7" s="354">
        <v>6</v>
      </c>
      <c r="G7" s="538">
        <f t="shared" si="2"/>
        <v>0</v>
      </c>
      <c r="H7" s="406">
        <v>20</v>
      </c>
      <c r="I7" s="531">
        <f t="shared" si="0"/>
        <v>0</v>
      </c>
      <c r="J7" s="2"/>
      <c r="W7" s="53"/>
      <c r="X7" s="55"/>
      <c r="Y7" s="55"/>
      <c r="Z7" s="55"/>
    </row>
    <row r="8" spans="1:26" s="1" customFormat="1" ht="12.75">
      <c r="A8" s="378" t="s">
        <v>114</v>
      </c>
      <c r="B8" s="354" t="s">
        <v>83</v>
      </c>
      <c r="C8" s="548">
        <f>'Bétail et systèmes de garde'!$F$26</f>
        <v>0</v>
      </c>
      <c r="D8" s="431">
        <f>'Normes diverses'!E10</f>
        <v>17.5</v>
      </c>
      <c r="E8" s="544">
        <f t="shared" si="1"/>
        <v>0</v>
      </c>
      <c r="F8" s="497">
        <v>0</v>
      </c>
      <c r="G8" s="539">
        <f t="shared" si="2"/>
        <v>0</v>
      </c>
      <c r="H8" s="406">
        <v>20</v>
      </c>
      <c r="I8" s="531">
        <f t="shared" si="0"/>
        <v>0</v>
      </c>
      <c r="J8" s="2"/>
      <c r="W8" s="56"/>
      <c r="X8" s="55"/>
      <c r="Y8" s="55"/>
      <c r="Z8" s="55"/>
    </row>
    <row r="9" spans="1:26" s="1" customFormat="1" ht="12.75">
      <c r="A9" s="378" t="s">
        <v>115</v>
      </c>
      <c r="B9" s="354" t="s">
        <v>83</v>
      </c>
      <c r="C9" s="548">
        <f>'Bétail et systèmes de garde'!$G$26</f>
        <v>0</v>
      </c>
      <c r="D9" s="431">
        <f>'Normes diverses'!F10</f>
        <v>13.3</v>
      </c>
      <c r="E9" s="544">
        <f t="shared" si="1"/>
        <v>0</v>
      </c>
      <c r="F9" s="354">
        <v>8</v>
      </c>
      <c r="G9" s="538">
        <f t="shared" si="2"/>
        <v>0</v>
      </c>
      <c r="H9" s="406">
        <v>20</v>
      </c>
      <c r="I9" s="531">
        <f t="shared" si="0"/>
        <v>0</v>
      </c>
      <c r="J9" s="2"/>
      <c r="W9" s="57"/>
      <c r="X9" s="55"/>
      <c r="Y9" s="55"/>
      <c r="Z9" s="55"/>
    </row>
    <row r="10" spans="1:26" s="1" customFormat="1" ht="12.75">
      <c r="A10" s="378" t="s">
        <v>116</v>
      </c>
      <c r="B10" s="354" t="s">
        <v>83</v>
      </c>
      <c r="C10" s="548">
        <f>'Bétail et systèmes de garde'!$H$26</f>
        <v>0</v>
      </c>
      <c r="D10" s="431">
        <f>'Normes diverses'!G10</f>
        <v>8.75</v>
      </c>
      <c r="E10" s="544">
        <f t="shared" si="1"/>
        <v>0</v>
      </c>
      <c r="F10" s="354">
        <v>11</v>
      </c>
      <c r="G10" s="538">
        <f t="shared" si="2"/>
        <v>0</v>
      </c>
      <c r="H10" s="406">
        <v>20</v>
      </c>
      <c r="I10" s="531">
        <f t="shared" si="0"/>
        <v>0</v>
      </c>
      <c r="J10" s="2"/>
      <c r="W10" s="21"/>
      <c r="X10" s="55"/>
      <c r="Y10" s="55"/>
      <c r="Z10" s="55"/>
    </row>
    <row r="11" spans="1:28" s="1" customFormat="1" ht="12.75">
      <c r="A11" s="378" t="s">
        <v>117</v>
      </c>
      <c r="B11" s="354" t="s">
        <v>83</v>
      </c>
      <c r="C11" s="548">
        <f>'Bétail et systèmes de garde'!$I$26</f>
        <v>0</v>
      </c>
      <c r="D11" s="431">
        <f>'Normes diverses'!H10</f>
        <v>4.2</v>
      </c>
      <c r="E11" s="544">
        <f t="shared" si="1"/>
        <v>0</v>
      </c>
      <c r="F11" s="354">
        <v>4</v>
      </c>
      <c r="G11" s="538">
        <f t="shared" si="2"/>
        <v>0</v>
      </c>
      <c r="H11" s="407">
        <v>20</v>
      </c>
      <c r="I11" s="532">
        <f t="shared" si="0"/>
        <v>0</v>
      </c>
      <c r="J11" s="2"/>
      <c r="W11" s="55"/>
      <c r="X11" s="53"/>
      <c r="Y11" s="53"/>
      <c r="Z11" s="56"/>
      <c r="AA11" s="38"/>
      <c r="AB11" s="2"/>
    </row>
    <row r="12" spans="1:28" s="1" customFormat="1" ht="12.75">
      <c r="A12" s="375" t="s">
        <v>118</v>
      </c>
      <c r="B12" s="354" t="s">
        <v>83</v>
      </c>
      <c r="C12" s="548">
        <f>'Bétail et systèmes de garde'!$J$26</f>
        <v>0</v>
      </c>
      <c r="D12" s="498"/>
      <c r="E12" s="555">
        <f t="shared" si="1"/>
        <v>0</v>
      </c>
      <c r="F12" s="354">
        <v>20</v>
      </c>
      <c r="G12" s="538">
        <f t="shared" si="2"/>
        <v>0</v>
      </c>
      <c r="H12" s="406">
        <v>20</v>
      </c>
      <c r="I12" s="531">
        <f t="shared" si="0"/>
        <v>0</v>
      </c>
      <c r="J12" s="2"/>
      <c r="W12" s="55"/>
      <c r="X12" s="53"/>
      <c r="Y12" s="53"/>
      <c r="Z12" s="56"/>
      <c r="AA12" s="38"/>
      <c r="AB12" s="2"/>
    </row>
    <row r="13" spans="1:28" s="1" customFormat="1" ht="12.75">
      <c r="A13" s="348" t="s">
        <v>184</v>
      </c>
      <c r="B13" s="324"/>
      <c r="C13" s="309"/>
      <c r="D13" s="312"/>
      <c r="E13" s="533">
        <f t="shared" si="1"/>
        <v>0</v>
      </c>
      <c r="F13" s="324"/>
      <c r="G13" s="540"/>
      <c r="H13" s="309"/>
      <c r="I13" s="533"/>
      <c r="J13" s="2"/>
      <c r="W13" s="55"/>
      <c r="X13" s="54"/>
      <c r="Y13" s="53"/>
      <c r="Z13" s="56"/>
      <c r="AA13" s="38"/>
      <c r="AB13" s="2"/>
    </row>
    <row r="14" spans="1:28" s="1" customFormat="1" ht="12.75">
      <c r="A14" s="373" t="s">
        <v>119</v>
      </c>
      <c r="B14" s="354" t="s">
        <v>86</v>
      </c>
      <c r="C14" s="430">
        <f>('Bétail et systèmes de garde'!C34*'Bétail et systèmes de garde'!$B$34)+('Bétail et systèmes de garde'!C37*'Bétail et systèmes de garde'!$B$37)+('Bétail et systèmes de garde'!C38*'Bétail et systèmes de garde'!$B$38)+('Bétail et systèmes de garde'!C39*'Bétail et systèmes de garde'!$B$39)+('Bétail et systèmes de garde'!C36*'Bétail et systèmes de garde'!$B$36)</f>
        <v>0</v>
      </c>
      <c r="D14" s="499"/>
      <c r="E14" s="555">
        <f t="shared" si="1"/>
        <v>0</v>
      </c>
      <c r="F14" s="354">
        <v>2</v>
      </c>
      <c r="G14" s="538">
        <f>F14*(('Bétail et systèmes de garde'!C34*'Bétail et systèmes de garde'!$B$34)+('Bétail et systèmes de garde'!C37*'Bétail et systèmes de garde'!$B$37)+('Bétail et systèmes de garde'!C38*'Bétail et systèmes de garde'!$B$38)+('Bétail et systèmes de garde'!C39*'Bétail et systèmes de garde'!$B$39)+('Bétail et systèmes de garde'!C36*'Bétail et systèmes de garde'!$B$36))</f>
        <v>0</v>
      </c>
      <c r="H14" s="406">
        <v>2</v>
      </c>
      <c r="I14" s="534">
        <f>$C14*$H14</f>
        <v>0</v>
      </c>
      <c r="J14" s="2"/>
      <c r="K14" s="447"/>
      <c r="W14" s="55"/>
      <c r="X14" s="54"/>
      <c r="Y14" s="57"/>
      <c r="Z14" s="56"/>
      <c r="AA14" s="38"/>
      <c r="AB14" s="2"/>
    </row>
    <row r="15" spans="1:28" s="1" customFormat="1" ht="12.75">
      <c r="A15" s="450" t="s">
        <v>275</v>
      </c>
      <c r="B15" s="372" t="s">
        <v>86</v>
      </c>
      <c r="C15" s="430">
        <f>('Bétail et systèmes de garde'!D34*'Bétail et systèmes de garde'!$B$34)+('Bétail et systèmes de garde'!D37*'Bétail et systèmes de garde'!$B$37)+('Bétail et systèmes de garde'!D38*'Bétail et systèmes de garde'!$B$38)+('Bétail et systèmes de garde'!D39*'Bétail et systèmes de garde'!$B$39)+('Bétail et systèmes de garde'!D36*'Bétail et systèmes de garde'!$B$36)</f>
        <v>0</v>
      </c>
      <c r="D15" s="357">
        <v>0.13</v>
      </c>
      <c r="E15" s="544"/>
      <c r="F15" s="354">
        <v>1.5</v>
      </c>
      <c r="G15" s="538"/>
      <c r="H15" s="407">
        <v>2</v>
      </c>
      <c r="I15" s="535">
        <f>$C15*$H15</f>
        <v>0</v>
      </c>
      <c r="J15" s="2"/>
      <c r="K15" s="447"/>
      <c r="W15" s="55"/>
      <c r="X15" s="54"/>
      <c r="Y15" s="57"/>
      <c r="Z15" s="56"/>
      <c r="AA15" s="38"/>
      <c r="AB15" s="2"/>
    </row>
    <row r="16" spans="1:28" s="1" customFormat="1" ht="24" customHeight="1">
      <c r="A16" s="374" t="s">
        <v>212</v>
      </c>
      <c r="B16" s="372" t="s">
        <v>86</v>
      </c>
      <c r="C16" s="430">
        <f>('Bétail et systèmes de garde'!E34*'Bétail et systèmes de garde'!$B$34)+('Bétail et systèmes de garde'!E37*'Bétail et systèmes de garde'!$B$37)+('Bétail et systèmes de garde'!E38*'Bétail et systèmes de garde'!$B$38)+('Bétail et systèmes de garde'!E39*'Bétail et systèmes de garde'!$B$39)+('Bétail et systèmes de garde'!E36*'Bétail et systèmes de garde'!$B$36)</f>
        <v>0</v>
      </c>
      <c r="D16" s="354">
        <v>0.6</v>
      </c>
      <c r="E16" s="544">
        <f>D16*(('Bétail et systèmes de garde'!E34*'Bétail et systèmes de garde'!$B$34)+('Bétail et systèmes de garde'!E37*'Bétail et systèmes de garde'!$B$37)+('Bétail et systèmes de garde'!E38*'Bétail et systèmes de garde'!$B$38)+('Bétail et systèmes de garde'!E39*'Bétail et systèmes de garde'!$B$39)+('Bétail et systèmes de garde'!E36*'Bétail et systèmes de garde'!$B$36))</f>
        <v>0</v>
      </c>
      <c r="F16" s="354">
        <v>1</v>
      </c>
      <c r="G16" s="538">
        <f>F16*(('Bétail et systèmes de garde'!E34*'Bétail et systèmes de garde'!$B$34)+('Bétail et systèmes de garde'!E37*'Bétail et systèmes de garde'!$B$37)+('Bétail et systèmes de garde'!E38*'Bétail et systèmes de garde'!$B$38)+('Bétail et systèmes de garde'!E39*'Bétail et systèmes de garde'!$B$39)+('Bétail et systèmes de garde'!E36*'Bétail et systèmes de garde'!$B$36))</f>
        <v>0</v>
      </c>
      <c r="H16" s="407">
        <v>2</v>
      </c>
      <c r="I16" s="535">
        <f>$C16*$H16</f>
        <v>0</v>
      </c>
      <c r="J16" s="2"/>
      <c r="W16" s="21"/>
      <c r="X16" s="54"/>
      <c r="Y16" s="22"/>
      <c r="Z16" s="22"/>
      <c r="AA16" s="6"/>
      <c r="AB16" s="2"/>
    </row>
    <row r="17" spans="1:28" s="1" customFormat="1" ht="12.75">
      <c r="A17" s="390" t="s">
        <v>120</v>
      </c>
      <c r="B17" s="372" t="s">
        <v>86</v>
      </c>
      <c r="C17" s="430">
        <f>('Bétail et systèmes de garde'!F34*'Bétail et systèmes de garde'!$B$34)+('Bétail et systèmes de garde'!F37*'Bétail et systèmes de garde'!$B$37)+('Bétail et systèmes de garde'!F38*'Bétail et systèmes de garde'!$B$38)+('Bétail et systèmes de garde'!F39*'Bétail et systèmes de garde'!$B$39)+('Bétail et systèmes de garde'!F36*'Bétail et systèmes de garde'!$B$36)</f>
        <v>0</v>
      </c>
      <c r="D17" s="316">
        <v>1</v>
      </c>
      <c r="E17" s="544">
        <f>D17*(('Bétail et systèmes de garde'!F34*'Bétail et systèmes de garde'!$B$34)+('Bétail et systèmes de garde'!F37*'Bétail et systèmes de garde'!$B$37)+('Bétail et systèmes de garde'!F38*'Bétail et systèmes de garde'!$B$38)+('Bétail et systèmes de garde'!E39*'Bétail et systèmes de garde'!$B$39)+('Bétail et systèmes de garde'!F36*'Bétail et systèmes de garde'!$B$36))</f>
        <v>0</v>
      </c>
      <c r="F17" s="500">
        <v>0</v>
      </c>
      <c r="G17" s="541">
        <f>$C17*$F17</f>
        <v>0</v>
      </c>
      <c r="H17" s="404">
        <v>2</v>
      </c>
      <c r="I17" s="534">
        <f>$C17*$H17</f>
        <v>0</v>
      </c>
      <c r="J17" s="2"/>
      <c r="W17" s="21"/>
      <c r="X17" s="53"/>
      <c r="Y17" s="53"/>
      <c r="Z17" s="56"/>
      <c r="AA17" s="38"/>
      <c r="AB17" s="2"/>
    </row>
    <row r="18" spans="1:28" s="1" customFormat="1" ht="12.75">
      <c r="A18" s="348"/>
      <c r="B18" s="324"/>
      <c r="C18" s="309"/>
      <c r="D18" s="312"/>
      <c r="E18" s="533"/>
      <c r="F18" s="324"/>
      <c r="G18" s="540"/>
      <c r="H18" s="309"/>
      <c r="I18" s="533"/>
      <c r="J18" s="2"/>
      <c r="W18" s="21"/>
      <c r="X18" s="53"/>
      <c r="Y18" s="53"/>
      <c r="Z18" s="56"/>
      <c r="AA18" s="38"/>
      <c r="AB18" s="2"/>
    </row>
    <row r="19" spans="1:28" s="1" customFormat="1" ht="12.75">
      <c r="A19" s="348" t="s">
        <v>93</v>
      </c>
      <c r="B19" s="324"/>
      <c r="C19" s="399"/>
      <c r="D19" s="312"/>
      <c r="E19" s="533">
        <f aca="true" t="shared" si="3" ref="E19:E24">$C19*$D19</f>
        <v>0</v>
      </c>
      <c r="F19" s="324"/>
      <c r="G19" s="540"/>
      <c r="H19" s="309"/>
      <c r="I19" s="533"/>
      <c r="J19" s="2"/>
      <c r="W19" s="22"/>
      <c r="X19" s="22"/>
      <c r="Y19" s="22"/>
      <c r="Z19" s="21"/>
      <c r="AA19" s="2"/>
      <c r="AB19" s="2"/>
    </row>
    <row r="20" spans="1:28" s="1" customFormat="1" ht="12.75">
      <c r="A20" s="376" t="s">
        <v>121</v>
      </c>
      <c r="B20" s="372" t="s">
        <v>83</v>
      </c>
      <c r="C20" s="352">
        <f>'Bétail et systèmes de garde'!$C$65</f>
        <v>0</v>
      </c>
      <c r="D20" s="316">
        <v>8</v>
      </c>
      <c r="E20" s="544">
        <f t="shared" si="3"/>
        <v>0</v>
      </c>
      <c r="F20" s="500">
        <v>0</v>
      </c>
      <c r="G20" s="541">
        <f>$C20*$F20</f>
        <v>0</v>
      </c>
      <c r="H20" s="404">
        <v>5</v>
      </c>
      <c r="I20" s="534">
        <f>$C20*$H20</f>
        <v>0</v>
      </c>
      <c r="J20" s="2"/>
      <c r="K20" s="447"/>
      <c r="W20" s="22"/>
      <c r="X20" s="22"/>
      <c r="Y20" s="22"/>
      <c r="Z20" s="21"/>
      <c r="AA20" s="2"/>
      <c r="AB20" s="2"/>
    </row>
    <row r="21" spans="1:28" s="1" customFormat="1" ht="13.5" thickBot="1">
      <c r="A21" s="378" t="s">
        <v>122</v>
      </c>
      <c r="B21" s="372" t="s">
        <v>83</v>
      </c>
      <c r="C21" s="352">
        <f>'Bétail et systèmes de garde'!$D$65</f>
        <v>0</v>
      </c>
      <c r="D21" s="316">
        <v>8</v>
      </c>
      <c r="E21" s="544">
        <f t="shared" si="3"/>
        <v>0</v>
      </c>
      <c r="F21" s="354">
        <v>5</v>
      </c>
      <c r="G21" s="542">
        <f>$C21*$F21</f>
        <v>0</v>
      </c>
      <c r="H21" s="408">
        <v>5</v>
      </c>
      <c r="I21" s="536">
        <f>$C21*$H21</f>
        <v>0</v>
      </c>
      <c r="J21" s="2"/>
      <c r="W21" s="22"/>
      <c r="X21" s="22"/>
      <c r="Y21" s="22"/>
      <c r="Z21" s="21"/>
      <c r="AA21" s="2"/>
      <c r="AB21" s="2"/>
    </row>
    <row r="22" spans="1:28" s="1" customFormat="1" ht="12" customHeight="1" thickBot="1" thickTop="1">
      <c r="A22" s="332" t="s">
        <v>123</v>
      </c>
      <c r="C22" s="322"/>
      <c r="D22" s="322"/>
      <c r="E22" s="428">
        <f t="shared" si="3"/>
        <v>0</v>
      </c>
      <c r="F22" s="312"/>
      <c r="G22" s="537">
        <f>G5+G6+G7+G8+G9+G10+G11+G12+G14+G16+G17+G20+G21</f>
        <v>0</v>
      </c>
      <c r="H22" s="312"/>
      <c r="I22" s="537">
        <f>I5+I6+I7+I8+I9+I10+I11+I12+I14+I15+I16+I17+I20+I21</f>
        <v>0</v>
      </c>
      <c r="J22" s="2"/>
      <c r="W22" s="22"/>
      <c r="X22" s="22"/>
      <c r="Y22" s="22"/>
      <c r="Z22" s="21"/>
      <c r="AA22" s="2"/>
      <c r="AB22" s="2"/>
    </row>
    <row r="23" spans="5:28" s="1" customFormat="1" ht="9" customHeight="1" thickTop="1">
      <c r="E23" s="428">
        <f t="shared" si="3"/>
        <v>0</v>
      </c>
      <c r="J23" s="2"/>
      <c r="W23" s="26"/>
      <c r="X23" s="26"/>
      <c r="Y23" s="26"/>
      <c r="Z23" s="26"/>
      <c r="AA23" s="24"/>
      <c r="AB23" s="24"/>
    </row>
    <row r="24" spans="1:28" s="1" customFormat="1" ht="12.75">
      <c r="A24" s="348" t="s">
        <v>124</v>
      </c>
      <c r="B24" s="324"/>
      <c r="C24" s="309"/>
      <c r="D24" s="312"/>
      <c r="E24" s="428">
        <f t="shared" si="3"/>
        <v>0</v>
      </c>
      <c r="J24" s="2"/>
      <c r="W24" s="26"/>
      <c r="X24" s="26"/>
      <c r="Y24" s="26"/>
      <c r="Z24" s="26"/>
      <c r="AA24" s="24"/>
      <c r="AB24" s="24"/>
    </row>
    <row r="25" spans="1:28" s="1" customFormat="1" ht="12.75">
      <c r="A25" s="376" t="s">
        <v>125</v>
      </c>
      <c r="B25" s="372" t="s">
        <v>126</v>
      </c>
      <c r="C25" s="548">
        <f>'Bétail et systèmes de garde'!$C$53/100</f>
        <v>0</v>
      </c>
      <c r="D25" s="432" t="e">
        <f>'Normes diverses'!#REF!/'Normes diverses'!#REF!/'Normes diverses'!#REF!</f>
        <v>#REF!</v>
      </c>
      <c r="E25" s="552" t="e">
        <f>('Bétail et systèmes de garde'!C48*'Normes diverses'!#REF!+'Bétail et systèmes de garde'!C49*'Normes diverses'!#REF!+'Bétail et systèmes de garde'!C50*'Normes diverses'!#REF!+'Bétail et systèmes de garde'!C51*'Normes diverses'!#REF!+'Bétail et systèmes de garde'!C52*'Normes diverses'!#REF!)/100</f>
        <v>#REF!</v>
      </c>
      <c r="J25" s="2"/>
      <c r="W25" s="26"/>
      <c r="X25" s="58"/>
      <c r="Y25" s="26"/>
      <c r="Z25" s="59"/>
      <c r="AA25" s="24"/>
      <c r="AB25" s="24"/>
    </row>
    <row r="26" spans="1:28" s="1" customFormat="1" ht="12.75">
      <c r="A26" s="377" t="s">
        <v>127</v>
      </c>
      <c r="B26" s="372" t="s">
        <v>126</v>
      </c>
      <c r="C26" s="548">
        <f>'Bétail et systèmes de garde'!$D$53/100</f>
        <v>0</v>
      </c>
      <c r="D26" s="432" t="e">
        <f>'Normes diverses'!#REF!/'Normes diverses'!#REF!/'Normes diverses'!#REF!</f>
        <v>#REF!</v>
      </c>
      <c r="E26" s="544" t="e">
        <f>('Bétail et systèmes de garde'!D48*'Normes diverses'!#REF!+'Bétail et systèmes de garde'!D49*'Normes diverses'!#REF!+'Bétail et systèmes de garde'!D50*'Normes diverses'!#REF!+'Bétail et systèmes de garde'!D51*'Normes diverses'!#REF!+'Bétail et systèmes de garde'!D52*'Normes diverses'!#REF!)/100</f>
        <v>#REF!</v>
      </c>
      <c r="F26" s="312"/>
      <c r="H26" s="309"/>
      <c r="I26" s="309"/>
      <c r="J26" s="2"/>
      <c r="W26" s="26"/>
      <c r="X26" s="58"/>
      <c r="Y26" s="26"/>
      <c r="Z26" s="59"/>
      <c r="AA26" s="24"/>
      <c r="AB26" s="24"/>
    </row>
    <row r="27" spans="1:28" s="1" customFormat="1" ht="13.5" thickBot="1">
      <c r="A27" s="375" t="s">
        <v>128</v>
      </c>
      <c r="B27" s="372" t="s">
        <v>126</v>
      </c>
      <c r="C27" s="548">
        <f>'Bétail et systèmes de garde'!$E$53/100</f>
        <v>0</v>
      </c>
      <c r="D27" s="432" t="e">
        <f>'Normes diverses'!#REF!/'Normes diverses'!#REF!/'Normes diverses'!#REF!</f>
        <v>#REF!</v>
      </c>
      <c r="E27" s="544" t="e">
        <f>('Bétail et systèmes de garde'!E48*'Normes diverses'!#REF!+'Bétail et systèmes de garde'!E49*'Normes diverses'!#REF!+'Bétail et systèmes de garde'!E50*'Normes diverses'!#REF!+'Bétail et systèmes de garde'!E51*'Normes diverses'!#REF!+'Bétail et systèmes de garde'!E52*'Normes diverses'!#REF!)/100</f>
        <v>#REF!</v>
      </c>
      <c r="F27" s="325"/>
      <c r="H27" s="325"/>
      <c r="I27" s="325"/>
      <c r="J27" s="2"/>
      <c r="W27" s="26"/>
      <c r="X27" s="58"/>
      <c r="Y27" s="26"/>
      <c r="Z27" s="59"/>
      <c r="AA27" s="24"/>
      <c r="AB27" s="24"/>
    </row>
    <row r="28" spans="1:28" s="1" customFormat="1" ht="14.25" thickBot="1" thickTop="1">
      <c r="A28" s="327"/>
      <c r="B28" s="325"/>
      <c r="C28" s="2"/>
      <c r="D28" s="402" t="s">
        <v>216</v>
      </c>
      <c r="E28" s="546" t="e">
        <f>E5+E6+E7+E8+E9+E10+E11+E16+E17+E20+E21+E25+E26+E27</f>
        <v>#REF!</v>
      </c>
      <c r="F28" s="325"/>
      <c r="H28" s="325"/>
      <c r="I28" s="325"/>
      <c r="J28" s="2"/>
      <c r="W28" s="26"/>
      <c r="X28" s="58"/>
      <c r="Y28" s="26"/>
      <c r="Z28" s="59"/>
      <c r="AA28" s="24"/>
      <c r="AB28" s="24"/>
    </row>
    <row r="29" spans="1:28" s="1" customFormat="1" ht="3.75" customHeight="1" thickTop="1">
      <c r="A29" s="327"/>
      <c r="B29" s="325"/>
      <c r="C29" s="2"/>
      <c r="D29" s="401"/>
      <c r="E29" s="312"/>
      <c r="F29" s="325"/>
      <c r="G29" s="325"/>
      <c r="H29" s="325"/>
      <c r="I29" s="325"/>
      <c r="J29" s="2"/>
      <c r="W29" s="26"/>
      <c r="X29" s="58"/>
      <c r="Y29" s="26"/>
      <c r="Z29" s="59"/>
      <c r="AA29" s="24"/>
      <c r="AB29" s="24"/>
    </row>
    <row r="30" spans="4:28" s="1" customFormat="1" ht="5.25" customHeight="1">
      <c r="D30" s="2"/>
      <c r="E30" s="325"/>
      <c r="F30" s="325"/>
      <c r="G30" s="325"/>
      <c r="H30" s="325"/>
      <c r="I30" s="325"/>
      <c r="J30" s="2"/>
      <c r="W30" s="26"/>
      <c r="X30" s="58"/>
      <c r="Y30" s="26"/>
      <c r="Z30" s="59"/>
      <c r="AA30" s="24"/>
      <c r="AB30" s="24"/>
    </row>
    <row r="31" spans="1:28" s="1" customFormat="1" ht="18" customHeight="1">
      <c r="A31" s="73" t="s">
        <v>265</v>
      </c>
      <c r="D31" s="316" t="s">
        <v>107</v>
      </c>
      <c r="E31" s="332" t="s">
        <v>108</v>
      </c>
      <c r="F31" s="317" t="s">
        <v>129</v>
      </c>
      <c r="G31" s="354" t="s">
        <v>130</v>
      </c>
      <c r="H31" s="60"/>
      <c r="I31" s="308"/>
      <c r="J31" s="21"/>
      <c r="W31" s="25"/>
      <c r="X31" s="25"/>
      <c r="Y31" s="25"/>
      <c r="Z31" s="28"/>
      <c r="AA31" s="24"/>
      <c r="AB31" s="24"/>
    </row>
    <row r="32" spans="3:28" s="1" customFormat="1" ht="12.75" customHeight="1">
      <c r="C32" s="327"/>
      <c r="D32" s="354" t="s">
        <v>83</v>
      </c>
      <c r="E32" s="549">
        <f>$C$5+$C$6+$C$7+$C$8+$C$9+$C$10+$C$11+$C$12</f>
        <v>0</v>
      </c>
      <c r="F32" s="391">
        <f>0.2*12</f>
        <v>2.4000000000000004</v>
      </c>
      <c r="G32" s="538">
        <f aca="true" t="shared" si="4" ref="G32:G43">$E32*$F32</f>
        <v>0</v>
      </c>
      <c r="H32" s="321"/>
      <c r="I32" s="321"/>
      <c r="J32" s="21"/>
      <c r="W32" s="25"/>
      <c r="X32" s="25"/>
      <c r="Y32" s="25"/>
      <c r="Z32" s="28"/>
      <c r="AA32" s="24"/>
      <c r="AB32" s="24"/>
    </row>
    <row r="33" spans="3:28" s="1" customFormat="1" ht="12.75" customHeight="1">
      <c r="C33" s="327"/>
      <c r="D33" s="354" t="s">
        <v>83</v>
      </c>
      <c r="E33" s="549"/>
      <c r="F33" s="391">
        <f>0.5*12</f>
        <v>6</v>
      </c>
      <c r="G33" s="538">
        <f t="shared" si="4"/>
        <v>0</v>
      </c>
      <c r="H33" s="321"/>
      <c r="I33" s="321"/>
      <c r="J33" s="21"/>
      <c r="W33" s="25"/>
      <c r="X33" s="25"/>
      <c r="Y33" s="25"/>
      <c r="Z33" s="28"/>
      <c r="AA33" s="24"/>
      <c r="AB33" s="24"/>
    </row>
    <row r="34" spans="3:28" s="1" customFormat="1" ht="12.75" customHeight="1">
      <c r="C34" s="327"/>
      <c r="D34" s="354" t="s">
        <v>86</v>
      </c>
      <c r="E34" s="549">
        <f>$C$14+$C$16+$C$17</f>
        <v>0</v>
      </c>
      <c r="F34" s="391">
        <f>0.6*3</f>
        <v>1.7999999999999998</v>
      </c>
      <c r="G34" s="538">
        <f t="shared" si="4"/>
        <v>0</v>
      </c>
      <c r="H34" s="321"/>
      <c r="I34" s="321"/>
      <c r="J34" s="2"/>
      <c r="W34" s="25"/>
      <c r="X34" s="25"/>
      <c r="Y34" s="25"/>
      <c r="Z34" s="28"/>
      <c r="AA34" s="24"/>
      <c r="AB34" s="24"/>
    </row>
    <row r="35" spans="3:28" s="1" customFormat="1" ht="12.75" customHeight="1">
      <c r="C35" s="327"/>
      <c r="D35" s="354" t="s">
        <v>126</v>
      </c>
      <c r="E35" s="549">
        <f>(('Bétail et systèmes de garde'!B48*'Bétail et systèmes de garde'!G48)+('Bétail et systèmes de garde'!B49*'Bétail et systèmes de garde'!G49)+('Bétail et systèmes de garde'!B50*'Bétail et systèmes de garde'!G50)+('Bétail et systèmes de garde'!B51*'Bétail et systèmes de garde'!G51)+('Bétail et systèmes de garde'!B52*'Bétail et systèmes de garde'!G52))/100</f>
        <v>0</v>
      </c>
      <c r="F35" s="353">
        <v>0.6</v>
      </c>
      <c r="G35" s="538">
        <f t="shared" si="4"/>
        <v>0</v>
      </c>
      <c r="H35" s="321"/>
      <c r="I35" s="321"/>
      <c r="J35" s="2"/>
      <c r="W35" s="25"/>
      <c r="X35" s="25"/>
      <c r="Y35" s="25"/>
      <c r="Z35" s="28"/>
      <c r="AA35" s="24"/>
      <c r="AB35" s="24"/>
    </row>
    <row r="36" spans="3:28" s="1" customFormat="1" ht="12.75" customHeight="1">
      <c r="C36" s="327"/>
      <c r="D36" s="354" t="s">
        <v>110</v>
      </c>
      <c r="E36" s="554" t="e">
        <f>(IF(E54&gt;=Bâtiments!D45,E54,Bâtiments!D45))+'Données générales'!O54</f>
        <v>#REF!</v>
      </c>
      <c r="F36" s="391">
        <v>1.2</v>
      </c>
      <c r="G36" s="538" t="e">
        <f t="shared" si="4"/>
        <v>#REF!</v>
      </c>
      <c r="H36" s="321"/>
      <c r="I36" s="321"/>
      <c r="J36" s="2"/>
      <c r="W36" s="25"/>
      <c r="X36" s="25"/>
      <c r="Y36" s="25"/>
      <c r="Z36" s="28"/>
      <c r="AA36" s="24"/>
      <c r="AB36" s="24"/>
    </row>
    <row r="37" spans="3:28" s="1" customFormat="1" ht="12.75" customHeight="1">
      <c r="C37" s="327"/>
      <c r="D37" s="354" t="s">
        <v>110</v>
      </c>
      <c r="E37" s="554">
        <f>'Données générales'!$H$55+'Données générales'!$M$55</f>
        <v>0</v>
      </c>
      <c r="F37" s="391">
        <v>1.2</v>
      </c>
      <c r="G37" s="538">
        <f t="shared" si="4"/>
        <v>0</v>
      </c>
      <c r="H37" s="321"/>
      <c r="I37" s="321"/>
      <c r="J37" s="2"/>
      <c r="W37" s="25"/>
      <c r="X37" s="25"/>
      <c r="Y37" s="25"/>
      <c r="Z37" s="28"/>
      <c r="AA37" s="24"/>
      <c r="AB37" s="24"/>
    </row>
    <row r="38" spans="3:28" s="1" customFormat="1" ht="12.75" customHeight="1">
      <c r="C38" s="327"/>
      <c r="D38" s="354" t="s">
        <v>110</v>
      </c>
      <c r="E38" s="464"/>
      <c r="F38" s="391">
        <v>1.2</v>
      </c>
      <c r="G38" s="538">
        <f t="shared" si="4"/>
        <v>0</v>
      </c>
      <c r="H38" s="321"/>
      <c r="I38" s="321"/>
      <c r="J38" s="2"/>
      <c r="W38" s="25"/>
      <c r="X38" s="25"/>
      <c r="Y38" s="25"/>
      <c r="Z38" s="28"/>
      <c r="AA38" s="24"/>
      <c r="AB38" s="24"/>
    </row>
    <row r="39" spans="3:28" s="1" customFormat="1" ht="12.75" customHeight="1">
      <c r="C39" s="327"/>
      <c r="D39" s="354" t="s">
        <v>107</v>
      </c>
      <c r="E39" s="464"/>
      <c r="F39" s="391">
        <f>12</f>
        <v>12</v>
      </c>
      <c r="G39" s="538">
        <f t="shared" si="4"/>
        <v>0</v>
      </c>
      <c r="H39" s="329"/>
      <c r="I39" s="330"/>
      <c r="W39" s="25"/>
      <c r="X39" s="25"/>
      <c r="Y39" s="25"/>
      <c r="Z39" s="28"/>
      <c r="AA39" s="24"/>
      <c r="AB39" s="24"/>
    </row>
    <row r="40" spans="3:28" s="1" customFormat="1" ht="12.75" customHeight="1">
      <c r="C40" s="327"/>
      <c r="D40" s="354" t="s">
        <v>107</v>
      </c>
      <c r="E40" s="464"/>
      <c r="F40" s="391">
        <f>12</f>
        <v>12</v>
      </c>
      <c r="G40" s="538">
        <f t="shared" si="4"/>
        <v>0</v>
      </c>
      <c r="H40" s="329"/>
      <c r="I40" s="330"/>
      <c r="W40" s="25"/>
      <c r="X40" s="25"/>
      <c r="Y40" s="25"/>
      <c r="Z40" s="24"/>
      <c r="AA40" s="24"/>
      <c r="AB40" s="24"/>
    </row>
    <row r="41" spans="3:28" s="1" customFormat="1" ht="12.75" customHeight="1">
      <c r="C41" s="327"/>
      <c r="D41" s="354" t="s">
        <v>107</v>
      </c>
      <c r="E41" s="464"/>
      <c r="F41" s="391">
        <f>48</f>
        <v>48</v>
      </c>
      <c r="G41" s="538">
        <f t="shared" si="4"/>
        <v>0</v>
      </c>
      <c r="H41" s="329"/>
      <c r="I41" s="330"/>
      <c r="W41" s="24"/>
      <c r="X41" s="26"/>
      <c r="Y41" s="24"/>
      <c r="Z41" s="25"/>
      <c r="AA41" s="24"/>
      <c r="AB41" s="24"/>
    </row>
    <row r="42" spans="3:28" s="1" customFormat="1" ht="12.75" customHeight="1">
      <c r="C42" s="327"/>
      <c r="D42" s="354" t="s">
        <v>107</v>
      </c>
      <c r="E42" s="464"/>
      <c r="F42" s="391">
        <v>72</v>
      </c>
      <c r="G42" s="538">
        <f t="shared" si="4"/>
        <v>0</v>
      </c>
      <c r="H42" s="329"/>
      <c r="I42" s="330"/>
      <c r="W42" s="24"/>
      <c r="X42" s="26"/>
      <c r="Y42" s="24"/>
      <c r="Z42" s="24"/>
      <c r="AA42" s="24"/>
      <c r="AB42" s="24"/>
    </row>
    <row r="43" spans="3:28" s="1" customFormat="1" ht="12.75" customHeight="1">
      <c r="C43" s="327"/>
      <c r="D43" s="438" t="s">
        <v>107</v>
      </c>
      <c r="E43" s="551"/>
      <c r="F43" s="426">
        <v>48</v>
      </c>
      <c r="G43" s="538">
        <f t="shared" si="4"/>
        <v>0</v>
      </c>
      <c r="H43" s="329"/>
      <c r="I43" s="330"/>
      <c r="W43" s="24"/>
      <c r="X43" s="26"/>
      <c r="Y43" s="24"/>
      <c r="Z43" s="24"/>
      <c r="AA43" s="24"/>
      <c r="AB43" s="24"/>
    </row>
    <row r="44" spans="3:28" s="1" customFormat="1" ht="12.75" customHeight="1">
      <c r="C44" s="422" t="s">
        <v>166</v>
      </c>
      <c r="D44" s="360"/>
      <c r="E44" s="423"/>
      <c r="F44" s="75"/>
      <c r="G44" s="543">
        <f>Bâtiments!$E$27</f>
        <v>0</v>
      </c>
      <c r="H44" s="329"/>
      <c r="I44" s="329"/>
      <c r="W44" s="24"/>
      <c r="X44" s="26"/>
      <c r="Y44" s="24"/>
      <c r="Z44" s="28"/>
      <c r="AA44" s="24"/>
      <c r="AB44" s="24"/>
    </row>
    <row r="45" spans="4:28" s="1" customFormat="1" ht="13.5" customHeight="1">
      <c r="D45" s="325"/>
      <c r="E45" s="2"/>
      <c r="F45" s="402" t="s">
        <v>175</v>
      </c>
      <c r="G45" s="538" t="e">
        <f>SUM(G32:G44)</f>
        <v>#REF!</v>
      </c>
      <c r="H45" s="329"/>
      <c r="I45" s="329"/>
      <c r="W45" s="24"/>
      <c r="X45" s="26"/>
      <c r="Y45" s="24"/>
      <c r="Z45" s="28"/>
      <c r="AA45" s="24"/>
      <c r="AB45" s="24"/>
    </row>
    <row r="46" spans="1:28" s="1" customFormat="1" ht="12.75" customHeight="1">
      <c r="A46" s="392" t="s">
        <v>131</v>
      </c>
      <c r="B46" s="312"/>
      <c r="C46" s="312"/>
      <c r="D46" s="312"/>
      <c r="E46" s="321"/>
      <c r="F46" s="331" t="s">
        <v>167</v>
      </c>
      <c r="G46" s="544" t="e">
        <f>$G$45+$G$22</f>
        <v>#REF!</v>
      </c>
      <c r="H46" s="321"/>
      <c r="I46" s="531" t="e">
        <f>$G$45+$I$22</f>
        <v>#REF!</v>
      </c>
      <c r="W46" s="24"/>
      <c r="X46" s="26"/>
      <c r="Y46" s="24"/>
      <c r="Z46" s="28"/>
      <c r="AA46" s="24"/>
      <c r="AB46" s="24"/>
    </row>
    <row r="47" spans="1:28" s="1" customFormat="1" ht="12.75" customHeight="1">
      <c r="A47" s="322"/>
      <c r="B47" s="321"/>
      <c r="C47" s="320" t="s">
        <v>132</v>
      </c>
      <c r="D47" s="332" t="str">
        <f>IF('Données générales'!L17=0,"________",IF('Données générales'!L17&lt;600,4,IF('Données générales'!L17&lt;700,4.5,IF('Données générales'!L17&lt;800,5,IF('Données générales'!L17&lt;900,5.5,6)))))</f>
        <v>________</v>
      </c>
      <c r="E47" s="312" t="s">
        <v>133</v>
      </c>
      <c r="F47" s="321"/>
      <c r="G47" s="545" t="e">
        <f>($G$46/12)*$D$47</f>
        <v>#REF!</v>
      </c>
      <c r="H47" s="321"/>
      <c r="I47" s="531" t="e">
        <f>($I$46/12)*$D$47</f>
        <v>#REF!</v>
      </c>
      <c r="W47" s="24"/>
      <c r="X47" s="26"/>
      <c r="Y47" s="24"/>
      <c r="Z47" s="28"/>
      <c r="AA47" s="24"/>
      <c r="AB47" s="24"/>
    </row>
    <row r="48" spans="1:28" s="1" customFormat="1" ht="12.75" customHeight="1" thickBot="1">
      <c r="A48" s="322"/>
      <c r="B48" s="325"/>
      <c r="C48" s="320" t="s">
        <v>169</v>
      </c>
      <c r="D48" s="1043" t="s">
        <v>170</v>
      </c>
      <c r="E48" s="1043"/>
      <c r="F48" s="1044"/>
      <c r="G48" s="545">
        <f>Bâtiments!$E$38</f>
        <v>0</v>
      </c>
      <c r="H48" s="308"/>
      <c r="I48" s="532">
        <f>Bâtiments!$E$38</f>
        <v>0</v>
      </c>
      <c r="W48" s="24"/>
      <c r="X48" s="26"/>
      <c r="Y48" s="24"/>
      <c r="Z48" s="28"/>
      <c r="AA48" s="24"/>
      <c r="AB48" s="24"/>
    </row>
    <row r="49" spans="1:28" s="1" customFormat="1" ht="12" customHeight="1" thickBot="1" thickTop="1">
      <c r="A49" s="321"/>
      <c r="B49" s="325"/>
      <c r="C49" s="320" t="s">
        <v>134</v>
      </c>
      <c r="D49" s="1043" t="s">
        <v>170</v>
      </c>
      <c r="E49" s="1043"/>
      <c r="F49" s="1044"/>
      <c r="G49" s="546" t="e">
        <f>IF(G47&lt;=G48,"0",G47-G48)</f>
        <v>#REF!</v>
      </c>
      <c r="H49" s="308"/>
      <c r="I49" s="546" t="e">
        <f>IF(I47&lt;=I48,"0",(I47-I48))</f>
        <v>#REF!</v>
      </c>
      <c r="W49" s="24"/>
      <c r="X49" s="26"/>
      <c r="Y49" s="24"/>
      <c r="Z49" s="28"/>
      <c r="AA49" s="24"/>
      <c r="AB49" s="24"/>
    </row>
    <row r="50" spans="6:28" s="1" customFormat="1" ht="6" customHeight="1" thickTop="1">
      <c r="F50" s="325"/>
      <c r="H50" s="329"/>
      <c r="I50" s="329"/>
      <c r="W50" s="24"/>
      <c r="X50" s="26"/>
      <c r="Y50" s="24"/>
      <c r="Z50" s="28"/>
      <c r="AA50" s="24"/>
      <c r="AB50" s="24"/>
    </row>
    <row r="51" spans="1:28" s="1" customFormat="1" ht="12" customHeight="1">
      <c r="A51" s="525" t="s">
        <v>266</v>
      </c>
      <c r="D51" s="473"/>
      <c r="E51" s="552" t="e">
        <f>$E$28-$E$8-$E$9-$E$10-$E$11</f>
        <v>#REF!</v>
      </c>
      <c r="F51" s="325"/>
      <c r="H51" s="329"/>
      <c r="I51" s="329"/>
      <c r="W51" s="24"/>
      <c r="X51" s="26"/>
      <c r="Y51" s="24"/>
      <c r="Z51" s="28"/>
      <c r="AA51" s="24"/>
      <c r="AB51" s="24"/>
    </row>
    <row r="52" spans="3:28" s="1" customFormat="1" ht="12" customHeight="1">
      <c r="C52" s="495" t="s">
        <v>215</v>
      </c>
      <c r="D52" s="434">
        <v>0</v>
      </c>
      <c r="E52" s="552" t="e">
        <f>$E$51*$D52</f>
        <v>#REF!</v>
      </c>
      <c r="F52" s="325"/>
      <c r="H52" s="329"/>
      <c r="I52" s="329"/>
      <c r="W52" s="24"/>
      <c r="X52" s="26"/>
      <c r="Y52" s="24"/>
      <c r="Z52" s="28"/>
      <c r="AA52" s="24"/>
      <c r="AB52" s="24"/>
    </row>
    <row r="53" spans="3:28" s="1" customFormat="1" ht="12" customHeight="1">
      <c r="C53" s="495" t="s">
        <v>222</v>
      </c>
      <c r="D53" s="434"/>
      <c r="E53" s="553" t="e">
        <f>$E$51*$D53</f>
        <v>#REF!</v>
      </c>
      <c r="F53" s="325"/>
      <c r="H53" s="329"/>
      <c r="I53" s="329"/>
      <c r="W53" s="24"/>
      <c r="X53" s="26"/>
      <c r="Y53" s="24"/>
      <c r="Z53" s="28"/>
      <c r="AA53" s="24"/>
      <c r="AB53" s="24"/>
    </row>
    <row r="54" spans="2:28" s="1" customFormat="1" ht="12" customHeight="1">
      <c r="B54" s="3"/>
      <c r="D54" s="463" t="s">
        <v>168</v>
      </c>
      <c r="E54" s="542" t="e">
        <f>IF(E52&gt;0,E52/2,IF(E53&gt;0,E53/2,E51/2))</f>
        <v>#REF!</v>
      </c>
      <c r="F54" s="325"/>
      <c r="H54" s="329"/>
      <c r="I54" s="329"/>
      <c r="W54" s="24"/>
      <c r="X54" s="26"/>
      <c r="Y54" s="24"/>
      <c r="Z54" s="28"/>
      <c r="AA54" s="24"/>
      <c r="AB54" s="24"/>
    </row>
    <row r="55" spans="2:28" s="1" customFormat="1" ht="12" customHeight="1" thickBot="1">
      <c r="B55" s="3"/>
      <c r="D55" s="463" t="s">
        <v>236</v>
      </c>
      <c r="E55" s="542">
        <f>Bâtiments!$D$45</f>
        <v>0</v>
      </c>
      <c r="F55" s="325"/>
      <c r="H55" s="329"/>
      <c r="I55" s="329"/>
      <c r="W55" s="24"/>
      <c r="X55" s="26"/>
      <c r="Y55" s="24"/>
      <c r="Z55" s="28"/>
      <c r="AA55" s="24"/>
      <c r="AB55" s="24"/>
    </row>
    <row r="56" spans="2:28" s="1" customFormat="1" ht="12" customHeight="1" thickBot="1" thickTop="1">
      <c r="B56" s="3"/>
      <c r="D56" s="463" t="s">
        <v>240</v>
      </c>
      <c r="E56" s="547" t="e">
        <f>IF(E54&lt;=Bâtiments!$D$45,"0",E54-Bâtiments!$D$45)</f>
        <v>#REF!</v>
      </c>
      <c r="F56" s="325"/>
      <c r="H56" s="329"/>
      <c r="I56" s="329"/>
      <c r="W56" s="24"/>
      <c r="X56" s="26"/>
      <c r="Y56" s="24"/>
      <c r="Z56" s="28"/>
      <c r="AA56" s="24"/>
      <c r="AB56" s="24"/>
    </row>
    <row r="57" spans="1:28" s="1" customFormat="1" ht="5.25" customHeight="1" thickBot="1" thickTop="1">
      <c r="A57" s="384"/>
      <c r="B57" s="385"/>
      <c r="C57" s="384"/>
      <c r="D57" s="384"/>
      <c r="E57" s="386"/>
      <c r="F57" s="385"/>
      <c r="G57" s="437"/>
      <c r="H57" s="387"/>
      <c r="I57" s="387"/>
      <c r="W57" s="24"/>
      <c r="X57" s="26"/>
      <c r="Y57" s="24"/>
      <c r="Z57" s="28"/>
      <c r="AA57" s="24"/>
      <c r="AB57" s="24"/>
    </row>
    <row r="58" spans="1:28" s="1" customFormat="1" ht="13.5" thickTop="1">
      <c r="A58" s="321" t="s">
        <v>135</v>
      </c>
      <c r="B58" s="312"/>
      <c r="C58" s="321"/>
      <c r="D58" s="322"/>
      <c r="E58" s="337"/>
      <c r="F58" s="312"/>
      <c r="G58" s="311"/>
      <c r="H58" s="311"/>
      <c r="I58" s="311"/>
      <c r="W58" s="24"/>
      <c r="X58" s="26"/>
      <c r="Y58" s="24"/>
      <c r="Z58" s="28"/>
      <c r="AA58" s="24"/>
      <c r="AB58" s="24"/>
    </row>
    <row r="59" spans="1:28" s="1" customFormat="1" ht="3.75" customHeight="1">
      <c r="A59" s="321"/>
      <c r="B59" s="312"/>
      <c r="C59" s="321"/>
      <c r="D59" s="322"/>
      <c r="E59" s="337"/>
      <c r="F59" s="312"/>
      <c r="G59" s="311"/>
      <c r="H59" s="311"/>
      <c r="I59" s="311"/>
      <c r="W59" s="24"/>
      <c r="X59" s="26"/>
      <c r="Y59" s="24"/>
      <c r="Z59" s="28"/>
      <c r="AA59" s="24"/>
      <c r="AB59" s="24"/>
    </row>
    <row r="60" spans="1:28" s="1" customFormat="1" ht="12.75">
      <c r="A60" s="1040" t="s">
        <v>136</v>
      </c>
      <c r="B60" s="1040"/>
      <c r="D60" s="322"/>
      <c r="E60" s="1040" t="s">
        <v>137</v>
      </c>
      <c r="F60" s="1040"/>
      <c r="G60" s="1040"/>
      <c r="H60" s="1040"/>
      <c r="I60" s="1040"/>
      <c r="W60" s="24"/>
      <c r="X60" s="26"/>
      <c r="Y60" s="24"/>
      <c r="Z60" s="28"/>
      <c r="AA60" s="24"/>
      <c r="AB60" s="24"/>
    </row>
    <row r="61" spans="1:28" s="1" customFormat="1" ht="3" customHeight="1">
      <c r="A61" s="5"/>
      <c r="B61" s="8"/>
      <c r="C61" s="4"/>
      <c r="E61" s="313"/>
      <c r="F61" s="8"/>
      <c r="G61" s="311"/>
      <c r="H61" s="311"/>
      <c r="I61" s="311"/>
      <c r="W61" s="24"/>
      <c r="X61" s="26"/>
      <c r="Y61" s="24"/>
      <c r="Z61" s="28"/>
      <c r="AA61" s="24"/>
      <c r="AB61" s="24"/>
    </row>
    <row r="62" spans="1:28" s="1" customFormat="1" ht="14.25" customHeight="1">
      <c r="A62" s="1040" t="s">
        <v>271</v>
      </c>
      <c r="B62" s="1040"/>
      <c r="C62" s="4"/>
      <c r="E62" s="313"/>
      <c r="F62" s="8"/>
      <c r="G62" s="311"/>
      <c r="H62" s="311"/>
      <c r="I62" s="311"/>
      <c r="J62" s="2"/>
      <c r="W62" s="24"/>
      <c r="X62" s="26"/>
      <c r="Y62" s="24"/>
      <c r="Z62" s="28"/>
      <c r="AA62" s="24"/>
      <c r="AB62" s="24"/>
    </row>
    <row r="63" spans="1:28" s="1" customFormat="1" ht="12.75">
      <c r="A63" s="5"/>
      <c r="B63" s="8"/>
      <c r="C63" s="4"/>
      <c r="E63" s="313"/>
      <c r="F63" s="8"/>
      <c r="G63" s="311"/>
      <c r="H63" s="311"/>
      <c r="I63" s="311"/>
      <c r="J63" s="2"/>
      <c r="W63" s="24"/>
      <c r="X63" s="26"/>
      <c r="Y63" s="24"/>
      <c r="Z63" s="28"/>
      <c r="AA63" s="24"/>
      <c r="AB63" s="24"/>
    </row>
    <row r="64" spans="1:28" s="1" customFormat="1" ht="11.25">
      <c r="A64" s="5"/>
      <c r="B64" s="8"/>
      <c r="C64" s="5"/>
      <c r="E64" s="8"/>
      <c r="F64" s="8"/>
      <c r="G64" s="311"/>
      <c r="H64" s="311"/>
      <c r="I64" s="311"/>
      <c r="J64" s="2"/>
      <c r="W64" s="24"/>
      <c r="X64" s="26"/>
      <c r="Y64" s="24"/>
      <c r="Z64" s="28"/>
      <c r="AA64" s="24"/>
      <c r="AB64" s="24"/>
    </row>
    <row r="65" spans="2:28" s="1" customFormat="1" ht="11.25">
      <c r="B65" s="8"/>
      <c r="E65" s="313"/>
      <c r="F65" s="8"/>
      <c r="G65" s="311"/>
      <c r="H65" s="311"/>
      <c r="I65" s="311"/>
      <c r="J65" s="2"/>
      <c r="W65" s="24"/>
      <c r="X65" s="26"/>
      <c r="Y65" s="24"/>
      <c r="Z65" s="28"/>
      <c r="AA65" s="24"/>
      <c r="AB65" s="24"/>
    </row>
    <row r="66" spans="1:28" s="1" customFormat="1" ht="12.75">
      <c r="A66" s="2"/>
      <c r="B66" s="2"/>
      <c r="C66" s="2"/>
      <c r="D66" s="2"/>
      <c r="E66" s="325"/>
      <c r="F66" s="8"/>
      <c r="G66" s="311"/>
      <c r="H66" s="311"/>
      <c r="I66" s="311"/>
      <c r="J66" s="2"/>
      <c r="W66" s="24"/>
      <c r="X66" s="26"/>
      <c r="Y66" s="24"/>
      <c r="Z66" s="35"/>
      <c r="AA66" s="24"/>
      <c r="AB66" s="24"/>
    </row>
    <row r="67" spans="1:28" s="1" customFormat="1" ht="12.75">
      <c r="A67" s="3"/>
      <c r="B67" s="2"/>
      <c r="C67" s="2"/>
      <c r="D67" s="2"/>
      <c r="E67" s="325"/>
      <c r="F67" s="8"/>
      <c r="G67" s="311"/>
      <c r="H67" s="311"/>
      <c r="I67" s="311"/>
      <c r="J67" s="2"/>
      <c r="W67" s="25"/>
      <c r="X67" s="26"/>
      <c r="Y67" s="36"/>
      <c r="Z67" s="28"/>
      <c r="AA67" s="24"/>
      <c r="AB67" s="24"/>
    </row>
    <row r="68" spans="2:28" s="1" customFormat="1" ht="11.25">
      <c r="B68" s="8"/>
      <c r="C68" s="62"/>
      <c r="D68" s="21"/>
      <c r="E68" s="21"/>
      <c r="F68" s="8"/>
      <c r="G68" s="311"/>
      <c r="H68" s="311"/>
      <c r="I68" s="311"/>
      <c r="J68" s="2"/>
      <c r="W68" s="24"/>
      <c r="X68" s="26"/>
      <c r="Y68" s="24"/>
      <c r="Z68" s="28"/>
      <c r="AA68" s="24"/>
      <c r="AB68" s="24"/>
    </row>
    <row r="69" spans="2:28" s="1" customFormat="1" ht="11.25">
      <c r="B69" s="5"/>
      <c r="C69" s="62"/>
      <c r="D69" s="21"/>
      <c r="F69" s="72"/>
      <c r="J69" s="2"/>
      <c r="W69" s="24"/>
      <c r="X69" s="26"/>
      <c r="Y69" s="24"/>
      <c r="Z69" s="28"/>
      <c r="AA69" s="24"/>
      <c r="AB69" s="24"/>
    </row>
    <row r="70" spans="2:28" s="1" customFormat="1" ht="11.25">
      <c r="B70" s="5"/>
      <c r="C70" s="62"/>
      <c r="D70" s="21"/>
      <c r="F70" s="72"/>
      <c r="J70" s="2"/>
      <c r="W70" s="24"/>
      <c r="X70" s="26"/>
      <c r="Y70" s="24"/>
      <c r="Z70" s="28"/>
      <c r="AA70" s="24"/>
      <c r="AB70" s="24"/>
    </row>
    <row r="71" spans="2:28" s="1" customFormat="1" ht="11.25">
      <c r="B71" s="5"/>
      <c r="E71" s="5"/>
      <c r="F71" s="5"/>
      <c r="J71" s="2"/>
      <c r="W71" s="24"/>
      <c r="X71" s="26"/>
      <c r="Y71" s="24"/>
      <c r="Z71" s="24"/>
      <c r="AA71" s="24"/>
      <c r="AB71" s="24"/>
    </row>
    <row r="72" spans="2:28" s="1" customFormat="1" ht="11.25">
      <c r="B72" s="5"/>
      <c r="D72" s="2"/>
      <c r="J72" s="2"/>
      <c r="W72" s="24"/>
      <c r="X72" s="26"/>
      <c r="Y72" s="24"/>
      <c r="Z72" s="24"/>
      <c r="AA72" s="24"/>
      <c r="AB72" s="24"/>
    </row>
    <row r="73" spans="1:28" s="1" customFormat="1" ht="11.25">
      <c r="A73" s="8"/>
      <c r="B73" s="8"/>
      <c r="C73" s="9"/>
      <c r="D73" s="2"/>
      <c r="E73" s="8"/>
      <c r="F73" s="8"/>
      <c r="G73" s="9"/>
      <c r="H73" s="9"/>
      <c r="I73" s="9"/>
      <c r="J73" s="2"/>
      <c r="W73" s="25"/>
      <c r="X73" s="25"/>
      <c r="Y73" s="25"/>
      <c r="Z73" s="24"/>
      <c r="AA73" s="24"/>
      <c r="AB73" s="24"/>
    </row>
    <row r="74" spans="1:28" s="1" customFormat="1" ht="11.25">
      <c r="A74" s="8"/>
      <c r="B74" s="8"/>
      <c r="C74" s="9"/>
      <c r="D74" s="2"/>
      <c r="E74" s="8"/>
      <c r="F74" s="8"/>
      <c r="G74" s="9"/>
      <c r="H74" s="9"/>
      <c r="I74" s="9"/>
      <c r="J74" s="2"/>
      <c r="W74" s="25"/>
      <c r="X74" s="25"/>
      <c r="Y74" s="25"/>
      <c r="Z74" s="24"/>
      <c r="AA74" s="24"/>
      <c r="AB74" s="24"/>
    </row>
    <row r="75" spans="1:28" s="1" customFormat="1" ht="11.25">
      <c r="A75" s="9"/>
      <c r="B75" s="10"/>
      <c r="C75" s="8"/>
      <c r="D75" s="2"/>
      <c r="E75" s="8"/>
      <c r="F75" s="8"/>
      <c r="G75" s="9"/>
      <c r="H75" s="9"/>
      <c r="I75" s="9"/>
      <c r="J75" s="2"/>
      <c r="K75" s="5"/>
      <c r="W75" s="2"/>
      <c r="X75" s="2"/>
      <c r="Y75" s="2"/>
      <c r="Z75" s="2"/>
      <c r="AA75" s="2"/>
      <c r="AB75" s="2"/>
    </row>
    <row r="76" spans="1:28" s="1" customFormat="1" ht="11.25">
      <c r="A76" s="9"/>
      <c r="B76" s="10"/>
      <c r="C76" s="8"/>
      <c r="D76" s="2"/>
      <c r="E76" s="8"/>
      <c r="F76" s="2"/>
      <c r="G76" s="2"/>
      <c r="H76" s="29"/>
      <c r="J76" s="2"/>
      <c r="K76" s="5"/>
      <c r="W76" s="2"/>
      <c r="X76" s="2"/>
      <c r="Y76" s="2"/>
      <c r="Z76" s="2"/>
      <c r="AA76" s="2"/>
      <c r="AB76" s="2"/>
    </row>
    <row r="77" spans="1:28" s="1" customFormat="1" ht="11.25">
      <c r="A77" s="11"/>
      <c r="B77" s="12"/>
      <c r="C77" s="8"/>
      <c r="D77" s="2"/>
      <c r="E77" s="13"/>
      <c r="F77" s="2"/>
      <c r="G77" s="2"/>
      <c r="H77" s="32"/>
      <c r="I77" s="31"/>
      <c r="J77" s="2"/>
      <c r="K77" s="5"/>
      <c r="W77" s="2"/>
      <c r="X77" s="2"/>
      <c r="Y77" s="2"/>
      <c r="Z77" s="2"/>
      <c r="AA77" s="2"/>
      <c r="AB77" s="2"/>
    </row>
    <row r="78" spans="1:43" s="7" customFormat="1" ht="11.25">
      <c r="A78" s="15"/>
      <c r="B78" s="15"/>
      <c r="C78" s="15"/>
      <c r="D78" s="23"/>
      <c r="E78" s="16"/>
      <c r="F78" s="2"/>
      <c r="G78" s="2"/>
      <c r="H78" s="32"/>
      <c r="I78" s="1"/>
      <c r="J78" s="23"/>
      <c r="K78" s="5"/>
      <c r="W78" s="2"/>
      <c r="X78" s="2"/>
      <c r="Y78" s="2"/>
      <c r="Z78" s="2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28" s="1" customFormat="1" ht="11.25">
      <c r="A79" s="8"/>
      <c r="B79" s="8"/>
      <c r="C79" s="8"/>
      <c r="D79" s="2"/>
      <c r="E79" s="8"/>
      <c r="F79" s="2"/>
      <c r="G79" s="2"/>
      <c r="H79" s="32"/>
      <c r="I79" s="30"/>
      <c r="J79" s="2"/>
      <c r="K79" s="5"/>
      <c r="W79" s="2"/>
      <c r="X79" s="2"/>
      <c r="Y79" s="2"/>
      <c r="Z79" s="2"/>
      <c r="AA79" s="2"/>
      <c r="AB79" s="2"/>
    </row>
    <row r="80" spans="1:28" s="1" customFormat="1" ht="11.25">
      <c r="A80" s="8"/>
      <c r="B80" s="8"/>
      <c r="C80" s="8"/>
      <c r="D80" s="2"/>
      <c r="E80" s="8"/>
      <c r="F80" s="2"/>
      <c r="G80" s="2"/>
      <c r="H80" s="32"/>
      <c r="I80" s="33"/>
      <c r="J80" s="2"/>
      <c r="K80" s="5"/>
      <c r="W80" s="2"/>
      <c r="X80" s="2"/>
      <c r="Y80" s="2"/>
      <c r="Z80" s="2"/>
      <c r="AA80" s="2"/>
      <c r="AB80" s="2"/>
    </row>
    <row r="81" spans="1:43" s="1" customFormat="1" ht="11.25">
      <c r="A81" s="8"/>
      <c r="B81" s="8"/>
      <c r="C81" s="8"/>
      <c r="D81" s="2"/>
      <c r="E81" s="8"/>
      <c r="F81" s="2"/>
      <c r="G81" s="2"/>
      <c r="H81" s="32"/>
      <c r="I81" s="31"/>
      <c r="J81" s="2"/>
      <c r="K81" s="5"/>
      <c r="W81" s="23"/>
      <c r="X81" s="23"/>
      <c r="Y81" s="23"/>
      <c r="Z81" s="23"/>
      <c r="AA81" s="23"/>
      <c r="AB81" s="23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28" s="1" customFormat="1" ht="11.25">
      <c r="A82" s="8"/>
      <c r="B82" s="8"/>
      <c r="C82" s="8"/>
      <c r="D82" s="2"/>
      <c r="E82" s="8"/>
      <c r="F82" s="2"/>
      <c r="G82" s="2"/>
      <c r="H82" s="32"/>
      <c r="I82" s="33"/>
      <c r="J82" s="2"/>
      <c r="K82" s="5"/>
      <c r="W82" s="2"/>
      <c r="X82" s="2"/>
      <c r="Y82" s="2"/>
      <c r="Z82" s="2"/>
      <c r="AA82" s="2"/>
      <c r="AB82" s="2"/>
    </row>
    <row r="83" spans="1:28" s="1" customFormat="1" ht="11.25">
      <c r="A83" s="8"/>
      <c r="B83" s="8"/>
      <c r="C83" s="8"/>
      <c r="D83" s="2"/>
      <c r="E83" s="8"/>
      <c r="F83" s="2"/>
      <c r="G83" s="2"/>
      <c r="H83" s="32"/>
      <c r="I83" s="31"/>
      <c r="J83" s="2"/>
      <c r="K83" s="5"/>
      <c r="W83" s="2"/>
      <c r="X83" s="2"/>
      <c r="Y83" s="2"/>
      <c r="Z83" s="2"/>
      <c r="AA83" s="2"/>
      <c r="AB83" s="2"/>
    </row>
    <row r="84" spans="1:43" ht="12.75">
      <c r="A84" s="8"/>
      <c r="B84" s="8"/>
      <c r="C84" s="8"/>
      <c r="D84" s="4"/>
      <c r="E84" s="8"/>
      <c r="F84" s="2"/>
      <c r="G84" s="2"/>
      <c r="H84" s="32"/>
      <c r="I84" s="33"/>
      <c r="J84" s="4"/>
      <c r="K84" s="5"/>
      <c r="W84" s="2"/>
      <c r="X84" s="2"/>
      <c r="Y84" s="2"/>
      <c r="Z84" s="2"/>
      <c r="AA84" s="2"/>
      <c r="AB84" s="2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>
      <c r="A85" s="8"/>
      <c r="B85" s="8"/>
      <c r="C85" s="8"/>
      <c r="D85" s="4"/>
      <c r="E85" s="8"/>
      <c r="F85" s="2"/>
      <c r="G85" s="2"/>
      <c r="H85" s="32"/>
      <c r="I85" s="31"/>
      <c r="J85" s="4"/>
      <c r="K85" s="5"/>
      <c r="W85" s="2"/>
      <c r="X85" s="2"/>
      <c r="Y85" s="2"/>
      <c r="Z85" s="2"/>
      <c r="AA85" s="2"/>
      <c r="AB85" s="2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>
      <c r="A86" s="17"/>
      <c r="B86" s="8"/>
      <c r="C86" s="9"/>
      <c r="D86" s="4"/>
      <c r="E86" s="8"/>
      <c r="F86" s="2"/>
      <c r="G86" s="2"/>
      <c r="H86" s="32"/>
      <c r="I86" s="33"/>
      <c r="J86" s="4"/>
      <c r="K86" s="5"/>
      <c r="W86" s="2"/>
      <c r="X86" s="2"/>
      <c r="Y86" s="2"/>
      <c r="Z86" s="2"/>
      <c r="AA86" s="2"/>
      <c r="AB86" s="2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28" ht="12.75">
      <c r="A87" s="8"/>
      <c r="B87" s="8"/>
      <c r="C87" s="9"/>
      <c r="D87" s="4"/>
      <c r="E87" s="9"/>
      <c r="F87" s="2"/>
      <c r="G87" s="2"/>
      <c r="H87" s="32"/>
      <c r="I87" s="31"/>
      <c r="J87" s="4"/>
      <c r="K87" s="5"/>
      <c r="W87" s="4"/>
      <c r="X87" s="4"/>
      <c r="Y87" s="4"/>
      <c r="Z87" s="4"/>
      <c r="AA87" s="4"/>
      <c r="AB87" s="4"/>
    </row>
    <row r="88" spans="1:28" ht="12.75">
      <c r="A88" s="14"/>
      <c r="B88" s="8"/>
      <c r="C88" s="8"/>
      <c r="D88" s="4"/>
      <c r="E88" s="8"/>
      <c r="F88" s="311"/>
      <c r="G88" s="319"/>
      <c r="H88" s="311"/>
      <c r="I88" s="33"/>
      <c r="J88" s="4"/>
      <c r="K88" s="5"/>
      <c r="W88" s="4"/>
      <c r="X88" s="4"/>
      <c r="Y88" s="4"/>
      <c r="Z88" s="4"/>
      <c r="AA88" s="4"/>
      <c r="AB88" s="4"/>
    </row>
    <row r="89" spans="1:28" ht="12.75">
      <c r="A89" s="8"/>
      <c r="B89" s="8"/>
      <c r="C89" s="8"/>
      <c r="D89" s="4"/>
      <c r="E89" s="8"/>
      <c r="F89" s="1"/>
      <c r="G89" s="2"/>
      <c r="H89" s="29"/>
      <c r="I89" s="30"/>
      <c r="J89" s="4"/>
      <c r="K89" s="5"/>
      <c r="W89" s="4"/>
      <c r="X89" s="4"/>
      <c r="Y89" s="4"/>
      <c r="Z89" s="4"/>
      <c r="AA89" s="4"/>
      <c r="AB89" s="4"/>
    </row>
    <row r="90" spans="1:28" ht="12.75">
      <c r="A90" s="17"/>
      <c r="B90" s="8"/>
      <c r="C90" s="8"/>
      <c r="D90" s="4"/>
      <c r="E90" s="8"/>
      <c r="F90" s="1"/>
      <c r="G90" s="1"/>
      <c r="H90" s="1"/>
      <c r="I90" s="31"/>
      <c r="J90" s="4"/>
      <c r="K90" s="5"/>
      <c r="W90" s="4"/>
      <c r="X90" s="4"/>
      <c r="Y90" s="4"/>
      <c r="Z90" s="4"/>
      <c r="AA90" s="4"/>
      <c r="AB90" s="4"/>
    </row>
    <row r="91" spans="1:28" ht="12.75">
      <c r="A91" s="8"/>
      <c r="B91" s="8"/>
      <c r="C91" s="8"/>
      <c r="D91" s="4"/>
      <c r="E91" s="8"/>
      <c r="F91" s="2"/>
      <c r="G91" s="2"/>
      <c r="H91" s="32"/>
      <c r="I91" s="31"/>
      <c r="J91" s="4"/>
      <c r="K91" s="5"/>
      <c r="W91" s="4"/>
      <c r="X91" s="4"/>
      <c r="Y91" s="4"/>
      <c r="Z91" s="4"/>
      <c r="AA91" s="4"/>
      <c r="AB91" s="4"/>
    </row>
    <row r="92" spans="1:28" ht="12.75">
      <c r="A92" s="8"/>
      <c r="B92" s="9"/>
      <c r="C92" s="8"/>
      <c r="D92" s="4"/>
      <c r="E92" s="9"/>
      <c r="F92" s="9"/>
      <c r="G92" s="9"/>
      <c r="H92" s="8"/>
      <c r="I92" s="8"/>
      <c r="J92" s="4"/>
      <c r="K92" s="5"/>
      <c r="W92" s="4"/>
      <c r="X92" s="4"/>
      <c r="Y92" s="4"/>
      <c r="Z92" s="4"/>
      <c r="AA92" s="4"/>
      <c r="AB92" s="4"/>
    </row>
    <row r="93" spans="1:28" ht="12.75">
      <c r="A93" s="8"/>
      <c r="B93" s="9"/>
      <c r="C93" s="8"/>
      <c r="D93" s="4"/>
      <c r="E93" s="9"/>
      <c r="F93" s="9"/>
      <c r="G93" s="9"/>
      <c r="H93" s="8"/>
      <c r="I93" s="8"/>
      <c r="J93" s="4"/>
      <c r="K93" s="5"/>
      <c r="W93" s="4"/>
      <c r="X93" s="4"/>
      <c r="Y93" s="4"/>
      <c r="Z93" s="4"/>
      <c r="AA93" s="4"/>
      <c r="AB93" s="4"/>
    </row>
    <row r="94" spans="1:28" ht="12.75">
      <c r="A94" s="8"/>
      <c r="B94" s="8"/>
      <c r="C94" s="8"/>
      <c r="D94" s="4"/>
      <c r="E94" s="8"/>
      <c r="F94" s="8"/>
      <c r="G94" s="8"/>
      <c r="H94" s="8"/>
      <c r="I94" s="8"/>
      <c r="J94" s="4"/>
      <c r="K94" s="5"/>
      <c r="W94" s="4"/>
      <c r="X94" s="4"/>
      <c r="Y94" s="4"/>
      <c r="Z94" s="4"/>
      <c r="AA94" s="4"/>
      <c r="AB94" s="4"/>
    </row>
    <row r="95" spans="1:28" ht="12.75">
      <c r="A95" s="17"/>
      <c r="B95" s="8"/>
      <c r="C95" s="8"/>
      <c r="D95" s="4"/>
      <c r="E95" s="8"/>
      <c r="F95" s="8"/>
      <c r="G95" s="8"/>
      <c r="H95" s="8"/>
      <c r="I95" s="8"/>
      <c r="J95" s="4"/>
      <c r="K95" s="5"/>
      <c r="W95" s="4"/>
      <c r="X95" s="4"/>
      <c r="Y95" s="4"/>
      <c r="Z95" s="4"/>
      <c r="AA95" s="4"/>
      <c r="AB95" s="4"/>
    </row>
    <row r="96" spans="1:28" ht="12.75">
      <c r="A96" s="8"/>
      <c r="B96" s="8"/>
      <c r="C96" s="8"/>
      <c r="D96" s="4"/>
      <c r="E96" s="8"/>
      <c r="F96" s="8"/>
      <c r="G96" s="8"/>
      <c r="H96" s="8"/>
      <c r="I96" s="8"/>
      <c r="J96" s="4"/>
      <c r="K96" s="5"/>
      <c r="W96" s="4"/>
      <c r="X96" s="4"/>
      <c r="Y96" s="4"/>
      <c r="Z96" s="4"/>
      <c r="AA96" s="4"/>
      <c r="AB96" s="4"/>
    </row>
    <row r="97" spans="1:28" ht="12.75">
      <c r="A97" s="17"/>
      <c r="B97" s="8"/>
      <c r="C97" s="8"/>
      <c r="D97" s="4"/>
      <c r="E97" s="8"/>
      <c r="F97" s="8"/>
      <c r="G97" s="8"/>
      <c r="H97" s="8"/>
      <c r="I97" s="8"/>
      <c r="J97" s="4"/>
      <c r="K97" s="5"/>
      <c r="W97" s="4"/>
      <c r="X97" s="4"/>
      <c r="Y97" s="4"/>
      <c r="Z97" s="4"/>
      <c r="AA97" s="4"/>
      <c r="AB97" s="4"/>
    </row>
    <row r="98" spans="1:28" ht="12.75">
      <c r="A98" s="8"/>
      <c r="B98" s="8"/>
      <c r="C98" s="9"/>
      <c r="D98" s="4"/>
      <c r="E98" s="8"/>
      <c r="F98" s="9"/>
      <c r="G98" s="8"/>
      <c r="H98" s="8"/>
      <c r="I98" s="8"/>
      <c r="J98" s="4"/>
      <c r="K98" s="5"/>
      <c r="W98" s="4"/>
      <c r="X98" s="4"/>
      <c r="Y98" s="4"/>
      <c r="Z98" s="4"/>
      <c r="AA98" s="4"/>
      <c r="AB98" s="4"/>
    </row>
    <row r="99" spans="1:28" ht="12.75">
      <c r="A99" s="18"/>
      <c r="B99" s="18"/>
      <c r="C99" s="8"/>
      <c r="D99" s="4"/>
      <c r="E99" s="18"/>
      <c r="F99" s="18"/>
      <c r="G99" s="8"/>
      <c r="H99" s="8"/>
      <c r="I99" s="8"/>
      <c r="J99" s="4"/>
      <c r="K99" s="5"/>
      <c r="W99" s="4"/>
      <c r="X99" s="4"/>
      <c r="Y99" s="4"/>
      <c r="Z99" s="4"/>
      <c r="AA99" s="4"/>
      <c r="AB99" s="4"/>
    </row>
    <row r="100" spans="1:28" ht="12.75">
      <c r="A100" s="17"/>
      <c r="B100" s="8"/>
      <c r="C100" s="9"/>
      <c r="D100" s="4"/>
      <c r="E100" s="8"/>
      <c r="F100" s="9"/>
      <c r="G100" s="8"/>
      <c r="H100" s="9"/>
      <c r="I100" s="8"/>
      <c r="J100" s="4"/>
      <c r="K100" s="5"/>
      <c r="W100" s="4"/>
      <c r="X100" s="4"/>
      <c r="Y100" s="4"/>
      <c r="Z100" s="4"/>
      <c r="AA100" s="4"/>
      <c r="AB100" s="4"/>
    </row>
    <row r="101" spans="1:28" ht="12.75">
      <c r="A101" s="17"/>
      <c r="B101" s="8"/>
      <c r="C101" s="8"/>
      <c r="D101" s="4"/>
      <c r="E101" s="8"/>
      <c r="F101" s="9"/>
      <c r="G101" s="8"/>
      <c r="H101" s="8"/>
      <c r="I101" s="8"/>
      <c r="J101" s="4"/>
      <c r="K101" s="5"/>
      <c r="W101" s="4"/>
      <c r="X101" s="4"/>
      <c r="Y101" s="4"/>
      <c r="Z101" s="4"/>
      <c r="AA101" s="4"/>
      <c r="AB101" s="4"/>
    </row>
    <row r="102" spans="1:28" ht="12.75">
      <c r="A102" s="8"/>
      <c r="B102" s="8"/>
      <c r="C102" s="8"/>
      <c r="D102" s="4"/>
      <c r="E102" s="8"/>
      <c r="F102" s="8"/>
      <c r="G102" s="8"/>
      <c r="H102" s="8"/>
      <c r="I102" s="8"/>
      <c r="J102" s="4"/>
      <c r="K102" s="5"/>
      <c r="W102" s="4"/>
      <c r="X102" s="4"/>
      <c r="Y102" s="4"/>
      <c r="Z102" s="4"/>
      <c r="AA102" s="4"/>
      <c r="AB102" s="4"/>
    </row>
    <row r="103" spans="1:28" ht="12.75">
      <c r="A103" s="8"/>
      <c r="B103" s="8"/>
      <c r="C103" s="8"/>
      <c r="D103" s="4"/>
      <c r="E103" s="8"/>
      <c r="F103" s="8"/>
      <c r="G103" s="8"/>
      <c r="H103" s="8"/>
      <c r="I103" s="8"/>
      <c r="J103" s="4"/>
      <c r="K103" s="5"/>
      <c r="W103" s="4"/>
      <c r="X103" s="4"/>
      <c r="Y103" s="4"/>
      <c r="Z103" s="4"/>
      <c r="AA103" s="4"/>
      <c r="AB103" s="4"/>
    </row>
    <row r="104" spans="1:28" ht="12.75">
      <c r="A104" s="8"/>
      <c r="B104" s="8"/>
      <c r="C104" s="8"/>
      <c r="D104" s="4"/>
      <c r="E104" s="8"/>
      <c r="F104" s="8"/>
      <c r="G104" s="8"/>
      <c r="H104" s="8"/>
      <c r="I104" s="8"/>
      <c r="J104" s="4"/>
      <c r="K104" s="5"/>
      <c r="W104" s="4"/>
      <c r="X104" s="4"/>
      <c r="Y104" s="4"/>
      <c r="Z104" s="4"/>
      <c r="AA104" s="4"/>
      <c r="AB104" s="4"/>
    </row>
    <row r="105" spans="1:28" ht="12.75">
      <c r="A105" s="8"/>
      <c r="B105" s="8"/>
      <c r="C105" s="8"/>
      <c r="D105" s="4"/>
      <c r="E105" s="8"/>
      <c r="F105" s="8"/>
      <c r="G105" s="8"/>
      <c r="H105" s="8"/>
      <c r="I105" s="8"/>
      <c r="J105" s="4"/>
      <c r="K105" s="5"/>
      <c r="W105" s="4"/>
      <c r="X105" s="4"/>
      <c r="Y105" s="4"/>
      <c r="Z105" s="4"/>
      <c r="AA105" s="4"/>
      <c r="AB105" s="4"/>
    </row>
    <row r="106" spans="1:28" ht="12.75">
      <c r="A106" s="8"/>
      <c r="B106" s="8"/>
      <c r="C106" s="8"/>
      <c r="D106" s="4"/>
      <c r="E106" s="8"/>
      <c r="F106" s="8"/>
      <c r="G106" s="8"/>
      <c r="H106" s="8"/>
      <c r="I106" s="8"/>
      <c r="J106" s="4"/>
      <c r="K106" s="5"/>
      <c r="W106" s="4"/>
      <c r="X106" s="4"/>
      <c r="Y106" s="4"/>
      <c r="Z106" s="4"/>
      <c r="AA106" s="4"/>
      <c r="AB106" s="4"/>
    </row>
    <row r="107" spans="1:28" ht="12.75">
      <c r="A107" s="8"/>
      <c r="B107" s="8"/>
      <c r="C107" s="8"/>
      <c r="D107" s="4"/>
      <c r="E107" s="8"/>
      <c r="F107" s="8"/>
      <c r="G107" s="8"/>
      <c r="H107" s="8"/>
      <c r="I107" s="8"/>
      <c r="J107" s="4"/>
      <c r="K107" s="5"/>
      <c r="W107" s="4"/>
      <c r="X107" s="4"/>
      <c r="Y107" s="4"/>
      <c r="Z107" s="4"/>
      <c r="AA107" s="4"/>
      <c r="AB107" s="4"/>
    </row>
    <row r="108" spans="1:28" ht="12.75">
      <c r="A108" s="8"/>
      <c r="B108" s="8"/>
      <c r="C108" s="8"/>
      <c r="D108" s="4"/>
      <c r="E108" s="8"/>
      <c r="F108" s="8"/>
      <c r="G108" s="8"/>
      <c r="H108" s="8"/>
      <c r="I108" s="8"/>
      <c r="J108" s="4"/>
      <c r="K108" s="5"/>
      <c r="W108" s="4"/>
      <c r="X108" s="4"/>
      <c r="Y108" s="4"/>
      <c r="Z108" s="4"/>
      <c r="AA108" s="4"/>
      <c r="AB108" s="4"/>
    </row>
    <row r="109" spans="1:28" ht="12.75">
      <c r="A109" s="8"/>
      <c r="B109" s="8"/>
      <c r="C109" s="8"/>
      <c r="D109" s="4"/>
      <c r="E109" s="8"/>
      <c r="F109" s="8"/>
      <c r="G109" s="8"/>
      <c r="H109" s="8"/>
      <c r="I109" s="8"/>
      <c r="J109" s="4"/>
      <c r="K109" s="5"/>
      <c r="W109" s="4"/>
      <c r="X109" s="4"/>
      <c r="Y109" s="4"/>
      <c r="Z109" s="4"/>
      <c r="AA109" s="4"/>
      <c r="AB109" s="4"/>
    </row>
    <row r="110" spans="1:28" ht="12.75">
      <c r="A110" s="8"/>
      <c r="B110" s="8"/>
      <c r="C110" s="8"/>
      <c r="D110" s="4"/>
      <c r="E110" s="8"/>
      <c r="F110" s="8"/>
      <c r="G110" s="8"/>
      <c r="H110" s="8"/>
      <c r="I110" s="8"/>
      <c r="J110" s="4"/>
      <c r="K110" s="5"/>
      <c r="W110" s="4"/>
      <c r="X110" s="4"/>
      <c r="Y110" s="4"/>
      <c r="Z110" s="4"/>
      <c r="AA110" s="4"/>
      <c r="AB110" s="4"/>
    </row>
    <row r="111" spans="1:28" ht="12.75">
      <c r="A111" s="8"/>
      <c r="B111" s="8"/>
      <c r="C111" s="8"/>
      <c r="D111" s="4"/>
      <c r="E111" s="8"/>
      <c r="F111" s="19"/>
      <c r="G111" s="8"/>
      <c r="H111" s="8"/>
      <c r="I111" s="8"/>
      <c r="J111" s="4"/>
      <c r="K111" s="5"/>
      <c r="W111" s="4"/>
      <c r="X111" s="4"/>
      <c r="Y111" s="4"/>
      <c r="Z111" s="4"/>
      <c r="AA111" s="4"/>
      <c r="AB111" s="4"/>
    </row>
    <row r="112" spans="1:28" ht="12.75">
      <c r="A112" s="8"/>
      <c r="B112" s="8"/>
      <c r="C112" s="8"/>
      <c r="D112" s="4"/>
      <c r="E112" s="8"/>
      <c r="F112" s="8"/>
      <c r="G112" s="8"/>
      <c r="H112" s="8"/>
      <c r="I112" s="8"/>
      <c r="J112" s="4"/>
      <c r="K112" s="5"/>
      <c r="W112" s="4"/>
      <c r="X112" s="4"/>
      <c r="Y112" s="4"/>
      <c r="Z112" s="4"/>
      <c r="AA112" s="4"/>
      <c r="AB112" s="4"/>
    </row>
    <row r="113" spans="1:28" ht="12.75">
      <c r="A113" s="17"/>
      <c r="B113" s="8"/>
      <c r="C113" s="8"/>
      <c r="D113" s="4"/>
      <c r="E113" s="8"/>
      <c r="F113" s="8"/>
      <c r="G113" s="8"/>
      <c r="H113" s="8"/>
      <c r="I113" s="8"/>
      <c r="J113" s="4"/>
      <c r="K113" s="5"/>
      <c r="W113" s="4"/>
      <c r="X113" s="4"/>
      <c r="Y113" s="4"/>
      <c r="Z113" s="4"/>
      <c r="AA113" s="4"/>
      <c r="AB113" s="4"/>
    </row>
    <row r="114" spans="1:28" ht="12.75">
      <c r="A114" s="8"/>
      <c r="B114" s="8"/>
      <c r="C114" s="8"/>
      <c r="D114" s="4"/>
      <c r="E114" s="8"/>
      <c r="F114" s="8"/>
      <c r="G114" s="8"/>
      <c r="H114" s="8"/>
      <c r="I114" s="8"/>
      <c r="J114" s="4"/>
      <c r="K114" s="5"/>
      <c r="W114" s="4"/>
      <c r="X114" s="4"/>
      <c r="Y114" s="4"/>
      <c r="Z114" s="4"/>
      <c r="AA114" s="4"/>
      <c r="AB114" s="4"/>
    </row>
    <row r="115" spans="1:28" ht="12.75">
      <c r="A115" s="8"/>
      <c r="B115" s="8"/>
      <c r="C115" s="8"/>
      <c r="D115" s="4"/>
      <c r="E115" s="9"/>
      <c r="F115" s="9"/>
      <c r="G115" s="20"/>
      <c r="H115" s="9"/>
      <c r="I115" s="9"/>
      <c r="J115" s="4"/>
      <c r="K115" s="5"/>
      <c r="W115" s="4"/>
      <c r="X115" s="4"/>
      <c r="Y115" s="4"/>
      <c r="Z115" s="4"/>
      <c r="AA115" s="4"/>
      <c r="AB115" s="4"/>
    </row>
    <row r="116" spans="1:28" ht="12.75">
      <c r="A116" s="8"/>
      <c r="B116" s="8"/>
      <c r="C116" s="8"/>
      <c r="D116" s="4"/>
      <c r="E116" s="9"/>
      <c r="F116" s="9"/>
      <c r="G116" s="20"/>
      <c r="H116" s="9"/>
      <c r="I116" s="9"/>
      <c r="J116" s="4"/>
      <c r="K116" s="5"/>
      <c r="W116" s="4"/>
      <c r="X116" s="4"/>
      <c r="Y116" s="4"/>
      <c r="Z116" s="4"/>
      <c r="AA116" s="4"/>
      <c r="AB116" s="4"/>
    </row>
    <row r="117" spans="1:28" ht="12.75">
      <c r="A117" s="8"/>
      <c r="B117" s="8"/>
      <c r="C117" s="8"/>
      <c r="D117" s="4"/>
      <c r="E117" s="8"/>
      <c r="F117" s="8"/>
      <c r="G117" s="8"/>
      <c r="H117" s="8"/>
      <c r="I117" s="8"/>
      <c r="J117" s="4"/>
      <c r="K117" s="5"/>
      <c r="W117" s="4"/>
      <c r="X117" s="4"/>
      <c r="Y117" s="4"/>
      <c r="Z117" s="4"/>
      <c r="AA117" s="4"/>
      <c r="AB117" s="4"/>
    </row>
    <row r="118" spans="1:28" ht="12.75">
      <c r="A118" s="8"/>
      <c r="B118" s="8"/>
      <c r="C118" s="8"/>
      <c r="D118" s="4"/>
      <c r="E118" s="8"/>
      <c r="F118" s="8"/>
      <c r="G118" s="8"/>
      <c r="H118" s="8"/>
      <c r="I118" s="8"/>
      <c r="J118" s="4"/>
      <c r="K118" s="5"/>
      <c r="W118" s="4"/>
      <c r="X118" s="4"/>
      <c r="Y118" s="4"/>
      <c r="Z118" s="4"/>
      <c r="AA118" s="4"/>
      <c r="AB118" s="4"/>
    </row>
    <row r="119" spans="1:28" ht="12.75">
      <c r="A119" s="17"/>
      <c r="B119" s="9"/>
      <c r="C119" s="8"/>
      <c r="D119" s="4"/>
      <c r="E119" s="9"/>
      <c r="F119" s="8"/>
      <c r="G119" s="9"/>
      <c r="H119" s="9"/>
      <c r="I119" s="8"/>
      <c r="J119" s="4"/>
      <c r="K119" s="5"/>
      <c r="W119" s="4"/>
      <c r="X119" s="4"/>
      <c r="Y119" s="4"/>
      <c r="Z119" s="4"/>
      <c r="AA119" s="4"/>
      <c r="AB119" s="4"/>
    </row>
    <row r="120" spans="1:28" ht="12.75">
      <c r="A120" s="8"/>
      <c r="B120" s="9"/>
      <c r="C120" s="8"/>
      <c r="D120" s="4"/>
      <c r="E120" s="9"/>
      <c r="F120" s="8"/>
      <c r="G120" s="9"/>
      <c r="H120" s="9"/>
      <c r="I120" s="8"/>
      <c r="J120" s="4"/>
      <c r="K120" s="5"/>
      <c r="W120" s="4"/>
      <c r="X120" s="4"/>
      <c r="Y120" s="4"/>
      <c r="Z120" s="4"/>
      <c r="AA120" s="4"/>
      <c r="AB120" s="4"/>
    </row>
    <row r="121" spans="1:28" ht="12.75">
      <c r="A121" s="8"/>
      <c r="B121" s="8"/>
      <c r="C121" s="8"/>
      <c r="D121" s="4"/>
      <c r="E121" s="8"/>
      <c r="F121" s="8"/>
      <c r="G121" s="8"/>
      <c r="H121" s="8"/>
      <c r="I121" s="8"/>
      <c r="J121" s="4"/>
      <c r="K121" s="5"/>
      <c r="W121" s="4"/>
      <c r="X121" s="4"/>
      <c r="Y121" s="4"/>
      <c r="Z121" s="4"/>
      <c r="AA121" s="4"/>
      <c r="AB121" s="4"/>
    </row>
    <row r="122" spans="1:28" ht="12.75">
      <c r="A122" s="8"/>
      <c r="B122" s="8"/>
      <c r="C122" s="8"/>
      <c r="D122" s="4"/>
      <c r="E122" s="8"/>
      <c r="F122" s="8"/>
      <c r="G122" s="8"/>
      <c r="H122" s="8"/>
      <c r="I122" s="8"/>
      <c r="J122" s="4"/>
      <c r="K122" s="5"/>
      <c r="W122" s="4"/>
      <c r="X122" s="4"/>
      <c r="Y122" s="4"/>
      <c r="Z122" s="4"/>
      <c r="AA122" s="4"/>
      <c r="AB122" s="4"/>
    </row>
    <row r="123" spans="1:28" ht="12.75">
      <c r="A123" s="8"/>
      <c r="B123" s="8"/>
      <c r="C123" s="8"/>
      <c r="D123" s="4"/>
      <c r="E123" s="8"/>
      <c r="F123" s="8"/>
      <c r="G123" s="8"/>
      <c r="H123" s="8"/>
      <c r="I123" s="8"/>
      <c r="J123" s="4"/>
      <c r="K123" s="5"/>
      <c r="W123" s="4"/>
      <c r="X123" s="4"/>
      <c r="Y123" s="4"/>
      <c r="Z123" s="4"/>
      <c r="AA123" s="4"/>
      <c r="AB123" s="4"/>
    </row>
    <row r="124" spans="1:28" ht="12.75">
      <c r="A124" s="8"/>
      <c r="B124" s="8"/>
      <c r="C124" s="8"/>
      <c r="D124" s="4"/>
      <c r="E124" s="8"/>
      <c r="F124" s="8"/>
      <c r="G124" s="8"/>
      <c r="H124" s="8"/>
      <c r="I124" s="8"/>
      <c r="J124" s="4"/>
      <c r="K124" s="5"/>
      <c r="W124" s="4"/>
      <c r="X124" s="4"/>
      <c r="Y124" s="4"/>
      <c r="Z124" s="4"/>
      <c r="AA124" s="4"/>
      <c r="AB124" s="4"/>
    </row>
    <row r="125" spans="1:28" ht="12.75">
      <c r="A125" s="8"/>
      <c r="B125" s="8"/>
      <c r="C125" s="8"/>
      <c r="D125" s="4"/>
      <c r="E125" s="8"/>
      <c r="F125" s="8"/>
      <c r="G125" s="8"/>
      <c r="H125" s="8"/>
      <c r="I125" s="8"/>
      <c r="J125" s="4"/>
      <c r="K125" s="5"/>
      <c r="W125" s="4"/>
      <c r="X125" s="4"/>
      <c r="Y125" s="4"/>
      <c r="Z125" s="4"/>
      <c r="AA125" s="4"/>
      <c r="AB125" s="4"/>
    </row>
    <row r="126" spans="1:28" ht="12.75">
      <c r="A126" s="8"/>
      <c r="B126" s="8"/>
      <c r="C126" s="8"/>
      <c r="D126" s="4"/>
      <c r="E126" s="8"/>
      <c r="F126" s="8"/>
      <c r="G126" s="8"/>
      <c r="H126" s="8"/>
      <c r="I126" s="8"/>
      <c r="J126" s="4"/>
      <c r="K126" s="5"/>
      <c r="W126" s="4"/>
      <c r="X126" s="4"/>
      <c r="Y126" s="4"/>
      <c r="Z126" s="4"/>
      <c r="AA126" s="4"/>
      <c r="AB126" s="4"/>
    </row>
    <row r="127" spans="1:28" ht="12.75">
      <c r="A127" s="8"/>
      <c r="B127" s="8"/>
      <c r="C127" s="8"/>
      <c r="D127" s="4"/>
      <c r="E127" s="8"/>
      <c r="F127" s="8"/>
      <c r="G127" s="8"/>
      <c r="H127" s="8"/>
      <c r="I127" s="8"/>
      <c r="J127" s="4"/>
      <c r="K127" s="5"/>
      <c r="W127" s="4"/>
      <c r="X127" s="4"/>
      <c r="Y127" s="4"/>
      <c r="Z127" s="4"/>
      <c r="AA127" s="4"/>
      <c r="AB127" s="4"/>
    </row>
    <row r="128" spans="1:28" ht="12.75">
      <c r="A128" s="8"/>
      <c r="B128" s="8"/>
      <c r="C128" s="8"/>
      <c r="D128" s="4"/>
      <c r="E128" s="8"/>
      <c r="F128" s="8"/>
      <c r="G128" s="8"/>
      <c r="H128" s="8"/>
      <c r="I128" s="8"/>
      <c r="J128" s="4"/>
      <c r="K128" s="5"/>
      <c r="W128" s="4"/>
      <c r="X128" s="4"/>
      <c r="Y128" s="4"/>
      <c r="Z128" s="4"/>
      <c r="AA128" s="4"/>
      <c r="AB128" s="4"/>
    </row>
    <row r="129" spans="1:28" ht="12.75">
      <c r="A129" s="8"/>
      <c r="B129" s="8"/>
      <c r="C129" s="8"/>
      <c r="D129" s="4"/>
      <c r="E129" s="8"/>
      <c r="F129" s="8"/>
      <c r="G129" s="8"/>
      <c r="H129" s="8"/>
      <c r="I129" s="8"/>
      <c r="J129" s="4"/>
      <c r="K129" s="5"/>
      <c r="W129" s="4"/>
      <c r="X129" s="4"/>
      <c r="Y129" s="4"/>
      <c r="Z129" s="4"/>
      <c r="AA129" s="4"/>
      <c r="AB129" s="4"/>
    </row>
    <row r="130" spans="1:28" ht="12.75">
      <c r="A130" s="8"/>
      <c r="B130" s="8"/>
      <c r="C130" s="8"/>
      <c r="D130" s="4"/>
      <c r="E130" s="8"/>
      <c r="F130" s="8"/>
      <c r="G130" s="8"/>
      <c r="H130" s="8"/>
      <c r="I130" s="8"/>
      <c r="J130" s="4"/>
      <c r="K130" s="5"/>
      <c r="W130" s="4"/>
      <c r="X130" s="4"/>
      <c r="Y130" s="4"/>
      <c r="Z130" s="4"/>
      <c r="AA130" s="4"/>
      <c r="AB130" s="4"/>
    </row>
    <row r="131" spans="1:28" ht="12.75">
      <c r="A131" s="8"/>
      <c r="B131" s="8"/>
      <c r="C131" s="8"/>
      <c r="D131" s="4"/>
      <c r="E131" s="8"/>
      <c r="F131" s="8"/>
      <c r="G131" s="8"/>
      <c r="H131" s="8"/>
      <c r="I131" s="8"/>
      <c r="J131" s="4"/>
      <c r="K131" s="5"/>
      <c r="W131" s="4"/>
      <c r="X131" s="4"/>
      <c r="Y131" s="4"/>
      <c r="Z131" s="4"/>
      <c r="AA131" s="4"/>
      <c r="AB131" s="4"/>
    </row>
    <row r="132" spans="1:28" ht="12.75">
      <c r="A132" s="8"/>
      <c r="B132" s="8"/>
      <c r="C132" s="8"/>
      <c r="D132" s="4"/>
      <c r="E132" s="8"/>
      <c r="F132" s="8"/>
      <c r="G132" s="8"/>
      <c r="H132" s="8"/>
      <c r="I132" s="8"/>
      <c r="J132" s="4"/>
      <c r="K132" s="5"/>
      <c r="W132" s="4"/>
      <c r="X132" s="4"/>
      <c r="Y132" s="4"/>
      <c r="Z132" s="4"/>
      <c r="AA132" s="4"/>
      <c r="AB132" s="4"/>
    </row>
    <row r="133" spans="1:28" ht="12.75">
      <c r="A133" s="8"/>
      <c r="B133" s="8"/>
      <c r="C133" s="8"/>
      <c r="D133" s="4"/>
      <c r="E133" s="8"/>
      <c r="F133" s="8"/>
      <c r="G133" s="8"/>
      <c r="H133" s="8"/>
      <c r="I133" s="8"/>
      <c r="J133" s="4"/>
      <c r="K133" s="5"/>
      <c r="W133" s="4"/>
      <c r="X133" s="4"/>
      <c r="Y133" s="4"/>
      <c r="Z133" s="4"/>
      <c r="AA133" s="4"/>
      <c r="AB133" s="4"/>
    </row>
    <row r="134" spans="1:28" ht="12.75">
      <c r="A134" s="8"/>
      <c r="B134" s="8"/>
      <c r="C134" s="8"/>
      <c r="D134" s="4"/>
      <c r="E134" s="8"/>
      <c r="F134" s="8"/>
      <c r="G134" s="8"/>
      <c r="H134" s="8"/>
      <c r="I134" s="8"/>
      <c r="J134" s="4"/>
      <c r="K134" s="5"/>
      <c r="W134" s="4"/>
      <c r="X134" s="4"/>
      <c r="Y134" s="4"/>
      <c r="Z134" s="4"/>
      <c r="AA134" s="4"/>
      <c r="AB134" s="4"/>
    </row>
    <row r="135" spans="1:28" ht="12.75">
      <c r="A135" s="8"/>
      <c r="B135" s="8"/>
      <c r="C135" s="8"/>
      <c r="D135" s="4"/>
      <c r="E135" s="8"/>
      <c r="F135" s="8"/>
      <c r="G135" s="8"/>
      <c r="H135" s="8"/>
      <c r="I135" s="8"/>
      <c r="J135" s="4"/>
      <c r="K135" s="5"/>
      <c r="W135" s="4"/>
      <c r="X135" s="4"/>
      <c r="Y135" s="4"/>
      <c r="Z135" s="4"/>
      <c r="AA135" s="4"/>
      <c r="AB135" s="4"/>
    </row>
    <row r="136" spans="1:28" ht="12.75">
      <c r="A136" s="8"/>
      <c r="B136" s="8"/>
      <c r="C136" s="8"/>
      <c r="D136" s="4"/>
      <c r="E136" s="8"/>
      <c r="F136" s="8"/>
      <c r="G136" s="8"/>
      <c r="H136" s="8"/>
      <c r="I136" s="8"/>
      <c r="J136" s="4"/>
      <c r="K136" s="5"/>
      <c r="W136" s="4"/>
      <c r="X136" s="4"/>
      <c r="Y136" s="4"/>
      <c r="Z136" s="4"/>
      <c r="AA136" s="4"/>
      <c r="AB136" s="4"/>
    </row>
    <row r="137" spans="1:28" ht="12.75">
      <c r="A137" s="8"/>
      <c r="B137" s="8"/>
      <c r="C137" s="8"/>
      <c r="D137" s="4"/>
      <c r="E137" s="8"/>
      <c r="F137" s="8"/>
      <c r="G137" s="8"/>
      <c r="H137" s="8"/>
      <c r="I137" s="8"/>
      <c r="J137" s="4"/>
      <c r="K137" s="5"/>
      <c r="W137" s="4"/>
      <c r="X137" s="4"/>
      <c r="Y137" s="4"/>
      <c r="Z137" s="4"/>
      <c r="AA137" s="4"/>
      <c r="AB137" s="4"/>
    </row>
    <row r="138" spans="1:28" ht="12.75">
      <c r="A138" s="8"/>
      <c r="B138" s="8"/>
      <c r="C138" s="8"/>
      <c r="D138" s="4"/>
      <c r="E138" s="8"/>
      <c r="F138" s="8"/>
      <c r="G138" s="8"/>
      <c r="H138" s="8"/>
      <c r="I138" s="8"/>
      <c r="J138" s="4"/>
      <c r="K138" s="5"/>
      <c r="W138" s="4"/>
      <c r="X138" s="4"/>
      <c r="Y138" s="4"/>
      <c r="Z138" s="4"/>
      <c r="AA138" s="4"/>
      <c r="AB138" s="4"/>
    </row>
    <row r="139" spans="1:28" ht="12.75">
      <c r="A139" s="8"/>
      <c r="B139" s="8"/>
      <c r="C139" s="8"/>
      <c r="D139" s="4"/>
      <c r="E139" s="8"/>
      <c r="F139" s="8"/>
      <c r="G139" s="8"/>
      <c r="H139" s="8"/>
      <c r="I139" s="8"/>
      <c r="J139" s="4"/>
      <c r="K139" s="5"/>
      <c r="W139" s="4"/>
      <c r="X139" s="4"/>
      <c r="Y139" s="4"/>
      <c r="Z139" s="4"/>
      <c r="AA139" s="4"/>
      <c r="AB139" s="4"/>
    </row>
    <row r="140" spans="1:28" ht="12.75">
      <c r="A140" s="8"/>
      <c r="B140" s="8"/>
      <c r="C140" s="8"/>
      <c r="D140" s="4"/>
      <c r="E140" s="8"/>
      <c r="F140" s="8"/>
      <c r="G140" s="8"/>
      <c r="H140" s="8"/>
      <c r="I140" s="8"/>
      <c r="J140" s="4"/>
      <c r="K140" s="5"/>
      <c r="W140" s="4"/>
      <c r="X140" s="4"/>
      <c r="Y140" s="4"/>
      <c r="Z140" s="4"/>
      <c r="AA140" s="4"/>
      <c r="AB140" s="4"/>
    </row>
    <row r="141" spans="1:28" ht="12.75">
      <c r="A141" s="8"/>
      <c r="B141" s="8"/>
      <c r="C141" s="8"/>
      <c r="D141" s="4"/>
      <c r="E141" s="8"/>
      <c r="F141" s="8"/>
      <c r="G141" s="8"/>
      <c r="H141" s="8"/>
      <c r="I141" s="8"/>
      <c r="J141" s="4"/>
      <c r="K141" s="5"/>
      <c r="W141" s="4"/>
      <c r="X141" s="4"/>
      <c r="Y141" s="4"/>
      <c r="Z141" s="4"/>
      <c r="AA141" s="4"/>
      <c r="AB141" s="4"/>
    </row>
    <row r="142" spans="1:28" ht="12.75">
      <c r="A142" s="8"/>
      <c r="B142" s="8"/>
      <c r="C142" s="8"/>
      <c r="D142" s="4"/>
      <c r="E142" s="8"/>
      <c r="F142" s="8"/>
      <c r="G142" s="8"/>
      <c r="H142" s="8"/>
      <c r="I142" s="8"/>
      <c r="J142" s="4"/>
      <c r="K142" s="5"/>
      <c r="W142" s="4"/>
      <c r="X142" s="4"/>
      <c r="Y142" s="4"/>
      <c r="Z142" s="4"/>
      <c r="AA142" s="4"/>
      <c r="AB142" s="4"/>
    </row>
    <row r="143" spans="1:28" ht="12.75">
      <c r="A143" s="8"/>
      <c r="B143" s="8"/>
      <c r="C143" s="8"/>
      <c r="D143" s="4"/>
      <c r="E143" s="8"/>
      <c r="F143" s="8"/>
      <c r="G143" s="8"/>
      <c r="H143" s="8"/>
      <c r="I143" s="8"/>
      <c r="J143" s="4"/>
      <c r="K143" s="5"/>
      <c r="W143" s="4"/>
      <c r="X143" s="4"/>
      <c r="Y143" s="4"/>
      <c r="Z143" s="4"/>
      <c r="AA143" s="4"/>
      <c r="AB143" s="4"/>
    </row>
    <row r="144" spans="1:28" ht="12.75">
      <c r="A144" s="8"/>
      <c r="B144" s="8"/>
      <c r="C144" s="8"/>
      <c r="D144" s="4"/>
      <c r="E144" s="8"/>
      <c r="F144" s="8"/>
      <c r="G144" s="8"/>
      <c r="H144" s="8"/>
      <c r="I144" s="8"/>
      <c r="J144" s="4"/>
      <c r="K144" s="5"/>
      <c r="W144" s="4"/>
      <c r="X144" s="4"/>
      <c r="Y144" s="4"/>
      <c r="Z144" s="4"/>
      <c r="AA144" s="4"/>
      <c r="AB144" s="4"/>
    </row>
    <row r="145" spans="1:28" ht="12.75">
      <c r="A145" s="18"/>
      <c r="B145" s="18"/>
      <c r="C145" s="18"/>
      <c r="D145" s="4"/>
      <c r="E145" s="18"/>
      <c r="F145" s="18"/>
      <c r="G145" s="18"/>
      <c r="H145" s="18"/>
      <c r="I145" s="18"/>
      <c r="J145" s="4"/>
      <c r="K145" s="5"/>
      <c r="W145" s="4"/>
      <c r="X145" s="4"/>
      <c r="Y145" s="4"/>
      <c r="Z145" s="4"/>
      <c r="AA145" s="4"/>
      <c r="AB145" s="4"/>
    </row>
    <row r="146" spans="1:28" ht="12.75">
      <c r="A146" s="18"/>
      <c r="B146" s="18"/>
      <c r="C146" s="18"/>
      <c r="D146" s="4"/>
      <c r="E146" s="18"/>
      <c r="F146" s="18"/>
      <c r="G146" s="18"/>
      <c r="H146" s="18"/>
      <c r="I146" s="18"/>
      <c r="J146" s="4"/>
      <c r="K146" s="5"/>
      <c r="W146" s="4"/>
      <c r="X146" s="4"/>
      <c r="Y146" s="4"/>
      <c r="Z146" s="4"/>
      <c r="AA146" s="4"/>
      <c r="AB146" s="4"/>
    </row>
    <row r="147" spans="1:28" ht="12.75">
      <c r="A147" s="18"/>
      <c r="B147" s="18"/>
      <c r="C147" s="18"/>
      <c r="D147" s="4"/>
      <c r="E147" s="18"/>
      <c r="F147" s="18"/>
      <c r="G147" s="18"/>
      <c r="H147" s="18"/>
      <c r="I147" s="18"/>
      <c r="J147" s="4"/>
      <c r="K147" s="5"/>
      <c r="W147" s="4"/>
      <c r="X147" s="4"/>
      <c r="Y147" s="4"/>
      <c r="Z147" s="4"/>
      <c r="AA147" s="4"/>
      <c r="AB147" s="4"/>
    </row>
    <row r="148" spans="1:28" ht="12.75">
      <c r="A148" s="18"/>
      <c r="B148" s="18"/>
      <c r="C148" s="18"/>
      <c r="D148" s="4"/>
      <c r="E148" s="18"/>
      <c r="F148" s="18"/>
      <c r="G148" s="18"/>
      <c r="H148" s="18"/>
      <c r="I148" s="18"/>
      <c r="J148" s="4"/>
      <c r="K148" s="5"/>
      <c r="W148" s="4"/>
      <c r="X148" s="4"/>
      <c r="Y148" s="4"/>
      <c r="Z148" s="4"/>
      <c r="AA148" s="4"/>
      <c r="AB148" s="4"/>
    </row>
    <row r="149" spans="1:28" ht="12.75">
      <c r="A149" s="18"/>
      <c r="B149" s="18"/>
      <c r="C149" s="18"/>
      <c r="D149" s="4"/>
      <c r="E149" s="18"/>
      <c r="F149" s="18"/>
      <c r="G149" s="18"/>
      <c r="H149" s="18"/>
      <c r="I149" s="18"/>
      <c r="J149" s="4"/>
      <c r="K149" s="5"/>
      <c r="W149" s="4"/>
      <c r="X149" s="4"/>
      <c r="Y149" s="4"/>
      <c r="Z149" s="4"/>
      <c r="AA149" s="4"/>
      <c r="AB149" s="4"/>
    </row>
    <row r="150" spans="1:28" ht="12.75">
      <c r="A150" s="18"/>
      <c r="B150" s="18"/>
      <c r="C150" s="18"/>
      <c r="D150" s="4"/>
      <c r="E150" s="18"/>
      <c r="F150" s="18"/>
      <c r="G150" s="18"/>
      <c r="H150" s="18"/>
      <c r="I150" s="18"/>
      <c r="J150" s="4"/>
      <c r="K150" s="5"/>
      <c r="W150" s="4"/>
      <c r="X150" s="4"/>
      <c r="Y150" s="4"/>
      <c r="Z150" s="4"/>
      <c r="AA150" s="4"/>
      <c r="AB150" s="4"/>
    </row>
    <row r="151" spans="1:28" ht="12.75">
      <c r="A151" s="18"/>
      <c r="B151" s="18"/>
      <c r="C151" s="18"/>
      <c r="D151" s="4"/>
      <c r="E151" s="18"/>
      <c r="F151" s="18"/>
      <c r="G151" s="18"/>
      <c r="H151" s="18"/>
      <c r="I151" s="18"/>
      <c r="J151" s="4"/>
      <c r="W151" s="4"/>
      <c r="X151" s="4"/>
      <c r="Y151" s="4"/>
      <c r="Z151" s="4"/>
      <c r="AA151" s="4"/>
      <c r="AB151" s="4"/>
    </row>
    <row r="152" spans="1:28" ht="12.75">
      <c r="A152" s="18"/>
      <c r="B152" s="18"/>
      <c r="C152" s="18"/>
      <c r="D152" s="4"/>
      <c r="E152" s="18"/>
      <c r="F152" s="18"/>
      <c r="G152" s="18"/>
      <c r="H152" s="18"/>
      <c r="I152" s="18"/>
      <c r="J152" s="4"/>
      <c r="W152" s="4"/>
      <c r="X152" s="4"/>
      <c r="Y152" s="4"/>
      <c r="Z152" s="4"/>
      <c r="AA152" s="4"/>
      <c r="AB152" s="4"/>
    </row>
    <row r="153" spans="1:28" ht="12.75">
      <c r="A153" s="18"/>
      <c r="B153" s="18"/>
      <c r="C153" s="18"/>
      <c r="D153" s="4"/>
      <c r="E153" s="18"/>
      <c r="F153" s="18"/>
      <c r="G153" s="18"/>
      <c r="H153" s="18"/>
      <c r="I153" s="18"/>
      <c r="J153" s="4"/>
      <c r="W153" s="4"/>
      <c r="X153" s="4"/>
      <c r="Y153" s="4"/>
      <c r="Z153" s="4"/>
      <c r="AA153" s="4"/>
      <c r="AB153" s="4"/>
    </row>
    <row r="154" spans="1:28" ht="12.75">
      <c r="A154" s="18"/>
      <c r="B154" s="18"/>
      <c r="C154" s="18"/>
      <c r="D154" s="4"/>
      <c r="E154" s="18"/>
      <c r="F154" s="18"/>
      <c r="G154" s="18"/>
      <c r="H154" s="18"/>
      <c r="I154" s="18"/>
      <c r="J154" s="4"/>
      <c r="W154" s="4"/>
      <c r="X154" s="4"/>
      <c r="Y154" s="4"/>
      <c r="Z154" s="4"/>
      <c r="AA154" s="4"/>
      <c r="AB154" s="4"/>
    </row>
    <row r="155" spans="1:28" ht="12.75">
      <c r="A155" s="18"/>
      <c r="B155" s="18"/>
      <c r="C155" s="18"/>
      <c r="D155" s="4"/>
      <c r="E155" s="18"/>
      <c r="F155" s="18"/>
      <c r="G155" s="18"/>
      <c r="H155" s="18"/>
      <c r="I155" s="18"/>
      <c r="J155" s="4"/>
      <c r="W155" s="4"/>
      <c r="X155" s="4"/>
      <c r="Y155" s="4"/>
      <c r="Z155" s="4"/>
      <c r="AA155" s="4"/>
      <c r="AB155" s="4"/>
    </row>
    <row r="156" spans="1:28" ht="12.75">
      <c r="A156" s="18"/>
      <c r="B156" s="18"/>
      <c r="C156" s="18"/>
      <c r="D156" s="4"/>
      <c r="E156" s="18"/>
      <c r="F156" s="18"/>
      <c r="G156" s="18"/>
      <c r="H156" s="18"/>
      <c r="I156" s="18"/>
      <c r="J156" s="4"/>
      <c r="W156" s="4"/>
      <c r="X156" s="4"/>
      <c r="Y156" s="4"/>
      <c r="Z156" s="4"/>
      <c r="AA156" s="4"/>
      <c r="AB156" s="4"/>
    </row>
    <row r="157" spans="1:28" ht="12.75">
      <c r="A157" s="18"/>
      <c r="B157" s="18"/>
      <c r="C157" s="18"/>
      <c r="D157" s="4"/>
      <c r="E157" s="18"/>
      <c r="F157" s="18"/>
      <c r="G157" s="18"/>
      <c r="H157" s="18"/>
      <c r="I157" s="18"/>
      <c r="J157" s="4"/>
      <c r="W157" s="4"/>
      <c r="X157" s="4"/>
      <c r="Y157" s="4"/>
      <c r="Z157" s="4"/>
      <c r="AA157" s="4"/>
      <c r="AB157" s="4"/>
    </row>
    <row r="158" spans="1:28" ht="12.75">
      <c r="A158" s="18"/>
      <c r="B158" s="18"/>
      <c r="C158" s="18"/>
      <c r="D158" s="4"/>
      <c r="E158" s="18"/>
      <c r="F158" s="18"/>
      <c r="G158" s="18"/>
      <c r="H158" s="18"/>
      <c r="I158" s="18"/>
      <c r="J158" s="4"/>
      <c r="W158" s="4"/>
      <c r="X158" s="4"/>
      <c r="Y158" s="4"/>
      <c r="Z158" s="4"/>
      <c r="AA158" s="4"/>
      <c r="AB158" s="4"/>
    </row>
    <row r="159" spans="1:28" ht="12.75">
      <c r="A159" s="18"/>
      <c r="B159" s="18"/>
      <c r="C159" s="18"/>
      <c r="D159" s="4"/>
      <c r="E159" s="18"/>
      <c r="F159" s="18"/>
      <c r="G159" s="18"/>
      <c r="H159" s="18"/>
      <c r="I159" s="18"/>
      <c r="J159" s="4"/>
      <c r="W159" s="4"/>
      <c r="X159" s="4"/>
      <c r="Y159" s="4"/>
      <c r="Z159" s="4"/>
      <c r="AA159" s="4"/>
      <c r="AB159" s="4"/>
    </row>
    <row r="160" spans="1:28" ht="12.75">
      <c r="A160" s="18"/>
      <c r="B160" s="18"/>
      <c r="C160" s="18"/>
      <c r="D160" s="4"/>
      <c r="E160" s="18"/>
      <c r="F160" s="18"/>
      <c r="G160" s="18"/>
      <c r="H160" s="18"/>
      <c r="I160" s="18"/>
      <c r="J160" s="4"/>
      <c r="W160" s="4"/>
      <c r="X160" s="4"/>
      <c r="Y160" s="4"/>
      <c r="Z160" s="4"/>
      <c r="AA160" s="4"/>
      <c r="AB160" s="4"/>
    </row>
    <row r="161" spans="1:28" ht="12.75">
      <c r="A161" s="18"/>
      <c r="B161" s="18"/>
      <c r="C161" s="18"/>
      <c r="D161" s="4"/>
      <c r="E161" s="18"/>
      <c r="F161" s="18"/>
      <c r="G161" s="18"/>
      <c r="H161" s="18"/>
      <c r="I161" s="18"/>
      <c r="J161" s="4"/>
      <c r="W161" s="4"/>
      <c r="X161" s="4"/>
      <c r="Y161" s="4"/>
      <c r="Z161" s="4"/>
      <c r="AA161" s="4"/>
      <c r="AB161" s="4"/>
    </row>
    <row r="162" spans="1:28" ht="12.75">
      <c r="A162" s="18"/>
      <c r="B162" s="18"/>
      <c r="C162" s="18"/>
      <c r="D162" s="4"/>
      <c r="E162" s="18"/>
      <c r="F162" s="18"/>
      <c r="G162" s="18"/>
      <c r="H162" s="18"/>
      <c r="I162" s="18"/>
      <c r="J162" s="4"/>
      <c r="W162" s="4"/>
      <c r="X162" s="4"/>
      <c r="Y162" s="4"/>
      <c r="Z162" s="4"/>
      <c r="AA162" s="4"/>
      <c r="AB162" s="4"/>
    </row>
    <row r="163" spans="1:28" ht="12.75">
      <c r="A163" s="18"/>
      <c r="B163" s="18"/>
      <c r="C163" s="18"/>
      <c r="D163" s="4"/>
      <c r="E163" s="18"/>
      <c r="F163" s="18"/>
      <c r="G163" s="18"/>
      <c r="H163" s="18"/>
      <c r="I163" s="18"/>
      <c r="J163" s="4"/>
      <c r="W163" s="4"/>
      <c r="X163" s="4"/>
      <c r="Y163" s="4"/>
      <c r="Z163" s="4"/>
      <c r="AA163" s="4"/>
      <c r="AB163" s="4"/>
    </row>
    <row r="164" spans="1:28" ht="12.75">
      <c r="A164" s="18"/>
      <c r="B164" s="18"/>
      <c r="C164" s="18"/>
      <c r="D164" s="4"/>
      <c r="E164" s="18"/>
      <c r="F164" s="18"/>
      <c r="G164" s="18"/>
      <c r="H164" s="18"/>
      <c r="I164" s="18"/>
      <c r="J164" s="4"/>
      <c r="W164" s="4"/>
      <c r="X164" s="4"/>
      <c r="Y164" s="4"/>
      <c r="Z164" s="4"/>
      <c r="AA164" s="4"/>
      <c r="AB164" s="4"/>
    </row>
    <row r="165" spans="1:28" ht="12.75">
      <c r="A165" s="18"/>
      <c r="B165" s="18"/>
      <c r="C165" s="18"/>
      <c r="D165" s="4"/>
      <c r="E165" s="18"/>
      <c r="F165" s="18"/>
      <c r="G165" s="18"/>
      <c r="H165" s="18"/>
      <c r="I165" s="18"/>
      <c r="J165" s="4"/>
      <c r="W165" s="4"/>
      <c r="X165" s="4"/>
      <c r="Y165" s="4"/>
      <c r="Z165" s="4"/>
      <c r="AA165" s="4"/>
      <c r="AB165" s="4"/>
    </row>
    <row r="166" spans="1:28" ht="12.75">
      <c r="A166" s="18"/>
      <c r="B166" s="18"/>
      <c r="C166" s="18"/>
      <c r="D166" s="4"/>
      <c r="E166" s="18"/>
      <c r="F166" s="18"/>
      <c r="G166" s="18"/>
      <c r="H166" s="18"/>
      <c r="I166" s="18"/>
      <c r="J166" s="4"/>
      <c r="W166" s="4"/>
      <c r="X166" s="4"/>
      <c r="Y166" s="4"/>
      <c r="Z166" s="4"/>
      <c r="AA166" s="4"/>
      <c r="AB166" s="4"/>
    </row>
    <row r="167" spans="1:28" ht="12.75">
      <c r="A167" s="18"/>
      <c r="B167" s="18"/>
      <c r="C167" s="18"/>
      <c r="D167" s="4"/>
      <c r="E167" s="18"/>
      <c r="F167" s="18"/>
      <c r="G167" s="18"/>
      <c r="H167" s="18"/>
      <c r="I167" s="18"/>
      <c r="J167" s="4"/>
      <c r="W167" s="4"/>
      <c r="X167" s="4"/>
      <c r="Y167" s="4"/>
      <c r="Z167" s="4"/>
      <c r="AA167" s="4"/>
      <c r="AB167" s="4"/>
    </row>
    <row r="168" spans="1:28" ht="12.75">
      <c r="A168" s="18"/>
      <c r="B168" s="18"/>
      <c r="C168" s="18"/>
      <c r="D168" s="4"/>
      <c r="E168" s="18"/>
      <c r="F168" s="18"/>
      <c r="G168" s="18"/>
      <c r="H168" s="18"/>
      <c r="I168" s="18"/>
      <c r="J168" s="4"/>
      <c r="W168" s="4"/>
      <c r="X168" s="4"/>
      <c r="Y168" s="4"/>
      <c r="Z168" s="4"/>
      <c r="AA168" s="4"/>
      <c r="AB168" s="4"/>
    </row>
    <row r="169" spans="1:28" ht="12.75">
      <c r="A169" s="18"/>
      <c r="B169" s="18"/>
      <c r="C169" s="18"/>
      <c r="D169" s="4"/>
      <c r="E169" s="18"/>
      <c r="F169" s="18"/>
      <c r="G169" s="18"/>
      <c r="H169" s="18"/>
      <c r="I169" s="18"/>
      <c r="J169" s="4"/>
      <c r="W169" s="4"/>
      <c r="X169" s="4"/>
      <c r="Y169" s="4"/>
      <c r="Z169" s="4"/>
      <c r="AA169" s="4"/>
      <c r="AB169" s="4"/>
    </row>
    <row r="170" spans="1:28" ht="12.75">
      <c r="A170" s="18"/>
      <c r="B170" s="18"/>
      <c r="C170" s="18"/>
      <c r="D170" s="4"/>
      <c r="E170" s="18"/>
      <c r="F170" s="18"/>
      <c r="G170" s="18"/>
      <c r="H170" s="18"/>
      <c r="I170" s="18"/>
      <c r="J170" s="4"/>
      <c r="W170" s="4"/>
      <c r="X170" s="4"/>
      <c r="Y170" s="4"/>
      <c r="Z170" s="4"/>
      <c r="AA170" s="4"/>
      <c r="AB170" s="4"/>
    </row>
    <row r="171" spans="1:28" ht="12.75">
      <c r="A171" s="18"/>
      <c r="B171" s="18"/>
      <c r="C171" s="18"/>
      <c r="D171" s="4"/>
      <c r="E171" s="18"/>
      <c r="F171" s="18"/>
      <c r="G171" s="18"/>
      <c r="H171" s="18"/>
      <c r="I171" s="18"/>
      <c r="J171" s="4"/>
      <c r="W171" s="4"/>
      <c r="X171" s="4"/>
      <c r="Y171" s="4"/>
      <c r="Z171" s="4"/>
      <c r="AA171" s="4"/>
      <c r="AB171" s="4"/>
    </row>
    <row r="172" spans="1:28" ht="12.75">
      <c r="A172" s="18"/>
      <c r="B172" s="18"/>
      <c r="C172" s="18"/>
      <c r="D172" s="4"/>
      <c r="E172" s="18"/>
      <c r="F172" s="18"/>
      <c r="G172" s="18"/>
      <c r="H172" s="18"/>
      <c r="I172" s="18"/>
      <c r="J172" s="4"/>
      <c r="W172" s="4"/>
      <c r="X172" s="4"/>
      <c r="Y172" s="4"/>
      <c r="Z172" s="4"/>
      <c r="AA172" s="4"/>
      <c r="AB172" s="4"/>
    </row>
    <row r="173" spans="1:28" ht="12.75">
      <c r="A173" s="18"/>
      <c r="B173" s="18"/>
      <c r="C173" s="18"/>
      <c r="D173" s="4"/>
      <c r="E173" s="18"/>
      <c r="F173" s="18"/>
      <c r="G173" s="18"/>
      <c r="H173" s="18"/>
      <c r="I173" s="18"/>
      <c r="J173" s="4"/>
      <c r="W173" s="4"/>
      <c r="X173" s="4"/>
      <c r="Y173" s="4"/>
      <c r="Z173" s="4"/>
      <c r="AA173" s="4"/>
      <c r="AB173" s="4"/>
    </row>
    <row r="174" spans="1:28" ht="12.75">
      <c r="A174" s="18"/>
      <c r="B174" s="18"/>
      <c r="C174" s="18"/>
      <c r="D174" s="4"/>
      <c r="E174" s="18"/>
      <c r="F174" s="18"/>
      <c r="G174" s="18"/>
      <c r="H174" s="18"/>
      <c r="I174" s="18"/>
      <c r="J174" s="4"/>
      <c r="W174" s="4"/>
      <c r="X174" s="4"/>
      <c r="Y174" s="4"/>
      <c r="Z174" s="4"/>
      <c r="AA174" s="4"/>
      <c r="AB174" s="4"/>
    </row>
    <row r="175" spans="1:28" ht="12.75">
      <c r="A175" s="18"/>
      <c r="B175" s="18"/>
      <c r="C175" s="18"/>
      <c r="D175" s="4"/>
      <c r="E175" s="18"/>
      <c r="F175" s="18"/>
      <c r="G175" s="18"/>
      <c r="H175" s="18"/>
      <c r="I175" s="18"/>
      <c r="J175" s="4"/>
      <c r="W175" s="4"/>
      <c r="X175" s="4"/>
      <c r="Y175" s="4"/>
      <c r="Z175" s="4"/>
      <c r="AA175" s="4"/>
      <c r="AB175" s="4"/>
    </row>
    <row r="176" spans="1:28" ht="12.75">
      <c r="A176" s="18"/>
      <c r="B176" s="18"/>
      <c r="C176" s="18"/>
      <c r="D176" s="4"/>
      <c r="E176" s="18"/>
      <c r="F176" s="18"/>
      <c r="G176" s="18"/>
      <c r="H176" s="18"/>
      <c r="I176" s="18"/>
      <c r="J176" s="4"/>
      <c r="W176" s="4"/>
      <c r="X176" s="4"/>
      <c r="Y176" s="4"/>
      <c r="Z176" s="4"/>
      <c r="AA176" s="4"/>
      <c r="AB176" s="4"/>
    </row>
    <row r="177" spans="1:28" ht="12.75">
      <c r="A177" s="18"/>
      <c r="B177" s="18"/>
      <c r="C177" s="18"/>
      <c r="D177" s="4"/>
      <c r="E177" s="18"/>
      <c r="F177" s="18"/>
      <c r="G177" s="18"/>
      <c r="H177" s="18"/>
      <c r="I177" s="18"/>
      <c r="J177" s="4"/>
      <c r="W177" s="4"/>
      <c r="X177" s="4"/>
      <c r="Y177" s="4"/>
      <c r="Z177" s="4"/>
      <c r="AA177" s="4"/>
      <c r="AB177" s="4"/>
    </row>
    <row r="178" spans="1:28" ht="12.75">
      <c r="A178" s="18"/>
      <c r="B178" s="18"/>
      <c r="C178" s="18"/>
      <c r="D178" s="4"/>
      <c r="E178" s="18"/>
      <c r="F178" s="18"/>
      <c r="G178" s="18"/>
      <c r="H178" s="18"/>
      <c r="I178" s="18"/>
      <c r="J178" s="4"/>
      <c r="W178" s="4"/>
      <c r="X178" s="4"/>
      <c r="Y178" s="4"/>
      <c r="Z178" s="4"/>
      <c r="AA178" s="4"/>
      <c r="AB178" s="4"/>
    </row>
    <row r="179" spans="1:28" ht="12.75">
      <c r="A179" s="18"/>
      <c r="B179" s="18"/>
      <c r="C179" s="18"/>
      <c r="D179" s="4"/>
      <c r="E179" s="18"/>
      <c r="F179" s="18"/>
      <c r="G179" s="18"/>
      <c r="H179" s="18"/>
      <c r="I179" s="18"/>
      <c r="J179" s="4"/>
      <c r="W179" s="4"/>
      <c r="X179" s="4"/>
      <c r="Y179" s="4"/>
      <c r="Z179" s="4"/>
      <c r="AA179" s="4"/>
      <c r="AB179" s="4"/>
    </row>
    <row r="180" spans="1:28" ht="12.75">
      <c r="A180" s="18"/>
      <c r="B180" s="18"/>
      <c r="C180" s="18"/>
      <c r="D180" s="4"/>
      <c r="E180" s="18"/>
      <c r="F180" s="18"/>
      <c r="G180" s="18"/>
      <c r="H180" s="18"/>
      <c r="I180" s="18"/>
      <c r="J180" s="4"/>
      <c r="W180" s="4"/>
      <c r="X180" s="4"/>
      <c r="Y180" s="4"/>
      <c r="Z180" s="4"/>
      <c r="AA180" s="4"/>
      <c r="AB180" s="4"/>
    </row>
    <row r="181" spans="1:28" ht="12.75">
      <c r="A181" s="18"/>
      <c r="B181" s="18"/>
      <c r="C181" s="18"/>
      <c r="D181" s="4"/>
      <c r="E181" s="18"/>
      <c r="F181" s="18"/>
      <c r="G181" s="18"/>
      <c r="H181" s="18"/>
      <c r="I181" s="18"/>
      <c r="J181" s="4"/>
      <c r="W181" s="4"/>
      <c r="X181" s="4"/>
      <c r="Y181" s="4"/>
      <c r="Z181" s="4"/>
      <c r="AA181" s="4"/>
      <c r="AB181" s="4"/>
    </row>
    <row r="182" spans="1:28" ht="12.75">
      <c r="A182" s="18"/>
      <c r="B182" s="18"/>
      <c r="C182" s="18"/>
      <c r="D182" s="4"/>
      <c r="E182" s="18"/>
      <c r="F182" s="18"/>
      <c r="G182" s="18"/>
      <c r="H182" s="18"/>
      <c r="I182" s="18"/>
      <c r="J182" s="4"/>
      <c r="W182" s="4"/>
      <c r="X182" s="4"/>
      <c r="Y182" s="4"/>
      <c r="Z182" s="4"/>
      <c r="AA182" s="4"/>
      <c r="AB182" s="4"/>
    </row>
    <row r="183" spans="1:28" ht="12.75">
      <c r="A183" s="18"/>
      <c r="B183" s="18"/>
      <c r="C183" s="18"/>
      <c r="D183" s="4"/>
      <c r="E183" s="18"/>
      <c r="F183" s="18"/>
      <c r="G183" s="18"/>
      <c r="H183" s="18"/>
      <c r="I183" s="18"/>
      <c r="J183" s="4"/>
      <c r="W183" s="4"/>
      <c r="X183" s="4"/>
      <c r="Y183" s="4"/>
      <c r="Z183" s="4"/>
      <c r="AA183" s="4"/>
      <c r="AB183" s="4"/>
    </row>
    <row r="184" spans="1:28" ht="12.75">
      <c r="A184" s="18"/>
      <c r="B184" s="18"/>
      <c r="C184" s="18"/>
      <c r="D184" s="4"/>
      <c r="E184" s="18"/>
      <c r="F184" s="18"/>
      <c r="G184" s="18"/>
      <c r="H184" s="18"/>
      <c r="I184" s="18"/>
      <c r="J184" s="4"/>
      <c r="W184" s="4"/>
      <c r="X184" s="4"/>
      <c r="Y184" s="4"/>
      <c r="Z184" s="4"/>
      <c r="AA184" s="4"/>
      <c r="AB184" s="4"/>
    </row>
    <row r="185" spans="1:28" ht="12.75">
      <c r="A185" s="18"/>
      <c r="B185" s="18"/>
      <c r="C185" s="18"/>
      <c r="D185" s="4"/>
      <c r="E185" s="18"/>
      <c r="F185" s="18"/>
      <c r="G185" s="18"/>
      <c r="H185" s="18"/>
      <c r="I185" s="18"/>
      <c r="J185" s="4"/>
      <c r="W185" s="4"/>
      <c r="X185" s="4"/>
      <c r="Y185" s="4"/>
      <c r="Z185" s="4"/>
      <c r="AA185" s="4"/>
      <c r="AB185" s="4"/>
    </row>
    <row r="186" spans="1:28" ht="12.75">
      <c r="A186" s="18"/>
      <c r="B186" s="18"/>
      <c r="C186" s="18"/>
      <c r="D186" s="4"/>
      <c r="E186" s="18"/>
      <c r="F186" s="18"/>
      <c r="G186" s="18"/>
      <c r="H186" s="18"/>
      <c r="I186" s="18"/>
      <c r="J186" s="4"/>
      <c r="W186" s="4"/>
      <c r="X186" s="4"/>
      <c r="Y186" s="4"/>
      <c r="Z186" s="4"/>
      <c r="AA186" s="4"/>
      <c r="AB186" s="4"/>
    </row>
    <row r="187" spans="1:28" ht="12.75">
      <c r="A187" s="18"/>
      <c r="B187" s="18"/>
      <c r="C187" s="18"/>
      <c r="D187" s="4"/>
      <c r="E187" s="18"/>
      <c r="F187" s="18"/>
      <c r="G187" s="18"/>
      <c r="H187" s="18"/>
      <c r="I187" s="18"/>
      <c r="J187" s="4"/>
      <c r="W187" s="4"/>
      <c r="X187" s="4"/>
      <c r="Y187" s="4"/>
      <c r="Z187" s="4"/>
      <c r="AA187" s="4"/>
      <c r="AB187" s="4"/>
    </row>
    <row r="188" spans="1:28" ht="12.75">
      <c r="A188" s="18"/>
      <c r="B188" s="18"/>
      <c r="C188" s="18"/>
      <c r="D188" s="4"/>
      <c r="E188" s="18"/>
      <c r="F188" s="18"/>
      <c r="G188" s="18"/>
      <c r="H188" s="18"/>
      <c r="I188" s="18"/>
      <c r="J188" s="4"/>
      <c r="W188" s="4"/>
      <c r="X188" s="4"/>
      <c r="Y188" s="4"/>
      <c r="Z188" s="4"/>
      <c r="AA188" s="4"/>
      <c r="AB188" s="4"/>
    </row>
    <row r="189" spans="1:28" ht="12.75">
      <c r="A189" s="18"/>
      <c r="B189" s="18"/>
      <c r="C189" s="18"/>
      <c r="D189" s="4"/>
      <c r="E189" s="18"/>
      <c r="F189" s="18"/>
      <c r="G189" s="18"/>
      <c r="H189" s="18"/>
      <c r="I189" s="18"/>
      <c r="J189" s="4"/>
      <c r="W189" s="4"/>
      <c r="X189" s="4"/>
      <c r="Y189" s="4"/>
      <c r="Z189" s="4"/>
      <c r="AA189" s="4"/>
      <c r="AB189" s="4"/>
    </row>
    <row r="190" spans="1:28" ht="12.75">
      <c r="A190" s="18"/>
      <c r="B190" s="18"/>
      <c r="C190" s="18"/>
      <c r="D190" s="4"/>
      <c r="E190" s="18"/>
      <c r="F190" s="18"/>
      <c r="G190" s="18"/>
      <c r="H190" s="18"/>
      <c r="I190" s="18"/>
      <c r="J190" s="4"/>
      <c r="W190" s="4"/>
      <c r="X190" s="4"/>
      <c r="Y190" s="4"/>
      <c r="Z190" s="4"/>
      <c r="AA190" s="4"/>
      <c r="AB190" s="4"/>
    </row>
    <row r="191" spans="1:28" ht="12.75">
      <c r="A191" s="18"/>
      <c r="B191" s="18"/>
      <c r="C191" s="18"/>
      <c r="D191" s="4"/>
      <c r="E191" s="18"/>
      <c r="F191" s="18"/>
      <c r="G191" s="18"/>
      <c r="H191" s="18"/>
      <c r="I191" s="18"/>
      <c r="J191" s="4"/>
      <c r="W191" s="4"/>
      <c r="X191" s="4"/>
      <c r="Y191" s="4"/>
      <c r="Z191" s="4"/>
      <c r="AA191" s="4"/>
      <c r="AB191" s="4"/>
    </row>
    <row r="192" spans="1:28" ht="12.75">
      <c r="A192" s="18"/>
      <c r="B192" s="18"/>
      <c r="C192" s="18"/>
      <c r="D192" s="4"/>
      <c r="E192" s="18"/>
      <c r="F192" s="18"/>
      <c r="G192" s="18"/>
      <c r="H192" s="18"/>
      <c r="I192" s="18"/>
      <c r="J192" s="4"/>
      <c r="W192" s="4"/>
      <c r="X192" s="4"/>
      <c r="Y192" s="4"/>
      <c r="Z192" s="4"/>
      <c r="AA192" s="4"/>
      <c r="AB192" s="4"/>
    </row>
    <row r="193" spans="1:28" ht="12.75">
      <c r="A193" s="18"/>
      <c r="B193" s="18"/>
      <c r="C193" s="18"/>
      <c r="D193" s="4"/>
      <c r="E193" s="18"/>
      <c r="F193" s="18"/>
      <c r="G193" s="18"/>
      <c r="H193" s="18"/>
      <c r="I193" s="18"/>
      <c r="J193" s="4"/>
      <c r="W193" s="4"/>
      <c r="X193" s="4"/>
      <c r="Y193" s="4"/>
      <c r="Z193" s="4"/>
      <c r="AA193" s="4"/>
      <c r="AB193" s="4"/>
    </row>
    <row r="194" spans="1:28" ht="12.75">
      <c r="A194" s="18"/>
      <c r="B194" s="18"/>
      <c r="C194" s="18"/>
      <c r="D194" s="4"/>
      <c r="E194" s="18"/>
      <c r="F194" s="18"/>
      <c r="G194" s="18"/>
      <c r="H194" s="18"/>
      <c r="I194" s="18"/>
      <c r="J194" s="4"/>
      <c r="W194" s="4"/>
      <c r="X194" s="4"/>
      <c r="Y194" s="4"/>
      <c r="Z194" s="4"/>
      <c r="AA194" s="4"/>
      <c r="AB194" s="4"/>
    </row>
    <row r="195" spans="1:28" ht="12.75">
      <c r="A195" s="18"/>
      <c r="B195" s="18"/>
      <c r="C195" s="18"/>
      <c r="D195" s="4"/>
      <c r="E195" s="18"/>
      <c r="F195" s="18"/>
      <c r="G195" s="18"/>
      <c r="H195" s="18"/>
      <c r="I195" s="18"/>
      <c r="J195" s="4"/>
      <c r="W195" s="4"/>
      <c r="X195" s="4"/>
      <c r="Y195" s="4"/>
      <c r="Z195" s="4"/>
      <c r="AA195" s="4"/>
      <c r="AB195" s="4"/>
    </row>
    <row r="196" spans="1:28" ht="12.75">
      <c r="A196" s="18"/>
      <c r="B196" s="18"/>
      <c r="C196" s="18"/>
      <c r="D196" s="4"/>
      <c r="E196" s="18"/>
      <c r="F196" s="18"/>
      <c r="G196" s="18"/>
      <c r="H196" s="18"/>
      <c r="I196" s="18"/>
      <c r="J196" s="4"/>
      <c r="W196" s="4"/>
      <c r="X196" s="4"/>
      <c r="Y196" s="4"/>
      <c r="Z196" s="4"/>
      <c r="AA196" s="4"/>
      <c r="AB196" s="4"/>
    </row>
    <row r="197" spans="1:28" ht="12.75">
      <c r="A197" s="18"/>
      <c r="B197" s="18"/>
      <c r="C197" s="18"/>
      <c r="D197" s="4"/>
      <c r="E197" s="18"/>
      <c r="F197" s="18"/>
      <c r="G197" s="18"/>
      <c r="H197" s="18"/>
      <c r="I197" s="18"/>
      <c r="J197" s="4"/>
      <c r="W197" s="4"/>
      <c r="X197" s="4"/>
      <c r="Y197" s="4"/>
      <c r="Z197" s="4"/>
      <c r="AA197" s="4"/>
      <c r="AB197" s="4"/>
    </row>
    <row r="198" spans="1:28" ht="12.75">
      <c r="A198" s="18"/>
      <c r="B198" s="18"/>
      <c r="C198" s="18"/>
      <c r="D198" s="4"/>
      <c r="E198" s="18"/>
      <c r="F198" s="18"/>
      <c r="G198" s="18"/>
      <c r="H198" s="18"/>
      <c r="I198" s="18"/>
      <c r="J198" s="4"/>
      <c r="W198" s="4"/>
      <c r="X198" s="4"/>
      <c r="Y198" s="4"/>
      <c r="Z198" s="4"/>
      <c r="AA198" s="4"/>
      <c r="AB198" s="4"/>
    </row>
    <row r="199" spans="1:28" ht="12.75">
      <c r="A199" s="18"/>
      <c r="B199" s="18"/>
      <c r="C199" s="18"/>
      <c r="D199" s="4"/>
      <c r="E199" s="18"/>
      <c r="F199" s="18"/>
      <c r="G199" s="18"/>
      <c r="H199" s="18"/>
      <c r="I199" s="18"/>
      <c r="J199" s="4"/>
      <c r="W199" s="4"/>
      <c r="X199" s="4"/>
      <c r="Y199" s="4"/>
      <c r="Z199" s="4"/>
      <c r="AA199" s="4"/>
      <c r="AB199" s="4"/>
    </row>
    <row r="200" spans="1:28" ht="12.75">
      <c r="A200" s="18"/>
      <c r="B200" s="18"/>
      <c r="C200" s="18"/>
      <c r="D200" s="4"/>
      <c r="E200" s="18"/>
      <c r="F200" s="18"/>
      <c r="G200" s="18"/>
      <c r="H200" s="18"/>
      <c r="I200" s="18"/>
      <c r="J200" s="4"/>
      <c r="W200" s="4"/>
      <c r="X200" s="4"/>
      <c r="Y200" s="4"/>
      <c r="Z200" s="4"/>
      <c r="AA200" s="4"/>
      <c r="AB200" s="4"/>
    </row>
    <row r="201" spans="1:28" ht="12.75">
      <c r="A201" s="18"/>
      <c r="B201" s="18"/>
      <c r="C201" s="18"/>
      <c r="D201" s="4"/>
      <c r="E201" s="18"/>
      <c r="F201" s="18"/>
      <c r="G201" s="18"/>
      <c r="H201" s="18"/>
      <c r="I201" s="18"/>
      <c r="J201" s="4"/>
      <c r="W201" s="4"/>
      <c r="X201" s="4"/>
      <c r="Y201" s="4"/>
      <c r="Z201" s="4"/>
      <c r="AA201" s="4"/>
      <c r="AB201" s="4"/>
    </row>
    <row r="202" spans="1:28" ht="12.75">
      <c r="A202" s="18"/>
      <c r="B202" s="18"/>
      <c r="C202" s="18"/>
      <c r="D202" s="4"/>
      <c r="E202" s="18"/>
      <c r="F202" s="18"/>
      <c r="G202" s="18"/>
      <c r="H202" s="18"/>
      <c r="I202" s="18"/>
      <c r="J202" s="4"/>
      <c r="W202" s="4"/>
      <c r="X202" s="4"/>
      <c r="Y202" s="4"/>
      <c r="Z202" s="4"/>
      <c r="AA202" s="4"/>
      <c r="AB202" s="4"/>
    </row>
    <row r="203" spans="1:28" ht="12.75">
      <c r="A203" s="18"/>
      <c r="B203" s="18"/>
      <c r="C203" s="18"/>
      <c r="D203" s="4"/>
      <c r="E203" s="18"/>
      <c r="F203" s="18"/>
      <c r="G203" s="18"/>
      <c r="H203" s="18"/>
      <c r="I203" s="18"/>
      <c r="J203" s="4"/>
      <c r="W203" s="4"/>
      <c r="X203" s="4"/>
      <c r="Y203" s="4"/>
      <c r="Z203" s="4"/>
      <c r="AA203" s="4"/>
      <c r="AB203" s="4"/>
    </row>
    <row r="204" spans="1:28" ht="12.75">
      <c r="A204" s="18"/>
      <c r="B204" s="18"/>
      <c r="C204" s="18"/>
      <c r="D204" s="4"/>
      <c r="E204" s="18"/>
      <c r="F204" s="18"/>
      <c r="G204" s="18"/>
      <c r="H204" s="18"/>
      <c r="I204" s="18"/>
      <c r="J204" s="4"/>
      <c r="W204" s="4"/>
      <c r="X204" s="4"/>
      <c r="Y204" s="4"/>
      <c r="Z204" s="4"/>
      <c r="AA204" s="4"/>
      <c r="AB204" s="4"/>
    </row>
    <row r="205" spans="1:28" ht="12.75">
      <c r="A205" s="18"/>
      <c r="B205" s="18"/>
      <c r="C205" s="18"/>
      <c r="D205" s="4"/>
      <c r="E205" s="18"/>
      <c r="F205" s="18"/>
      <c r="G205" s="18"/>
      <c r="H205" s="18"/>
      <c r="I205" s="18"/>
      <c r="J205" s="4"/>
      <c r="W205" s="4"/>
      <c r="X205" s="4"/>
      <c r="Y205" s="4"/>
      <c r="Z205" s="4"/>
      <c r="AA205" s="4"/>
      <c r="AB205" s="4"/>
    </row>
    <row r="206" spans="1:28" ht="12.75">
      <c r="A206" s="18"/>
      <c r="B206" s="18"/>
      <c r="C206" s="18"/>
      <c r="D206" s="4"/>
      <c r="E206" s="18"/>
      <c r="F206" s="18"/>
      <c r="G206" s="18"/>
      <c r="H206" s="18"/>
      <c r="I206" s="18"/>
      <c r="J206" s="4"/>
      <c r="W206" s="4"/>
      <c r="X206" s="4"/>
      <c r="Y206" s="4"/>
      <c r="Z206" s="4"/>
      <c r="AA206" s="4"/>
      <c r="AB206" s="4"/>
    </row>
    <row r="207" spans="1:28" ht="12.75">
      <c r="A207" s="18"/>
      <c r="B207" s="18"/>
      <c r="C207" s="18"/>
      <c r="D207" s="4"/>
      <c r="E207" s="18"/>
      <c r="F207" s="18"/>
      <c r="G207" s="18"/>
      <c r="H207" s="18"/>
      <c r="I207" s="18"/>
      <c r="J207" s="4"/>
      <c r="W207" s="4"/>
      <c r="X207" s="4"/>
      <c r="Y207" s="4"/>
      <c r="Z207" s="4"/>
      <c r="AA207" s="4"/>
      <c r="AB207" s="4"/>
    </row>
    <row r="208" spans="1:28" ht="12.75">
      <c r="A208" s="18"/>
      <c r="B208" s="18"/>
      <c r="C208" s="18"/>
      <c r="D208" s="4"/>
      <c r="E208" s="18"/>
      <c r="F208" s="18"/>
      <c r="G208" s="18"/>
      <c r="H208" s="18"/>
      <c r="I208" s="18"/>
      <c r="J208" s="4"/>
      <c r="W208" s="4"/>
      <c r="X208" s="4"/>
      <c r="Y208" s="4"/>
      <c r="Z208" s="4"/>
      <c r="AA208" s="4"/>
      <c r="AB208" s="4"/>
    </row>
    <row r="209" spans="1:28" ht="12.75">
      <c r="A209" s="18"/>
      <c r="B209" s="18"/>
      <c r="C209" s="18"/>
      <c r="D209" s="4"/>
      <c r="E209" s="18"/>
      <c r="F209" s="18"/>
      <c r="G209" s="18"/>
      <c r="H209" s="18"/>
      <c r="I209" s="18"/>
      <c r="J209" s="4"/>
      <c r="W209" s="4"/>
      <c r="X209" s="4"/>
      <c r="Y209" s="4"/>
      <c r="Z209" s="4"/>
      <c r="AA209" s="4"/>
      <c r="AB209" s="4"/>
    </row>
    <row r="210" spans="1:28" ht="12.75">
      <c r="A210" s="18"/>
      <c r="B210" s="18"/>
      <c r="C210" s="18"/>
      <c r="D210" s="4"/>
      <c r="E210" s="18"/>
      <c r="F210" s="18"/>
      <c r="G210" s="18"/>
      <c r="H210" s="18"/>
      <c r="I210" s="18"/>
      <c r="J210" s="4"/>
      <c r="W210" s="4"/>
      <c r="X210" s="4"/>
      <c r="Y210" s="4"/>
      <c r="Z210" s="4"/>
      <c r="AA210" s="4"/>
      <c r="AB210" s="4"/>
    </row>
    <row r="211" spans="1:28" ht="12.75">
      <c r="A211" s="18"/>
      <c r="B211" s="18"/>
      <c r="C211" s="18"/>
      <c r="D211" s="4"/>
      <c r="E211" s="18"/>
      <c r="F211" s="18"/>
      <c r="G211" s="18"/>
      <c r="H211" s="18"/>
      <c r="I211" s="18"/>
      <c r="J211" s="4"/>
      <c r="W211" s="4"/>
      <c r="X211" s="4"/>
      <c r="Y211" s="4"/>
      <c r="Z211" s="4"/>
      <c r="AA211" s="4"/>
      <c r="AB211" s="4"/>
    </row>
    <row r="212" spans="1:28" ht="12.75">
      <c r="A212" s="18"/>
      <c r="B212" s="18"/>
      <c r="C212" s="18"/>
      <c r="D212" s="4"/>
      <c r="E212" s="18"/>
      <c r="F212" s="18"/>
      <c r="G212" s="18"/>
      <c r="H212" s="18"/>
      <c r="I212" s="18"/>
      <c r="J212" s="4"/>
      <c r="W212" s="4"/>
      <c r="X212" s="4"/>
      <c r="Y212" s="4"/>
      <c r="Z212" s="4"/>
      <c r="AA212" s="4"/>
      <c r="AB212" s="4"/>
    </row>
    <row r="213" spans="1:28" ht="12.75">
      <c r="A213" s="18"/>
      <c r="B213" s="18"/>
      <c r="C213" s="18"/>
      <c r="D213" s="4"/>
      <c r="E213" s="18"/>
      <c r="F213" s="18"/>
      <c r="G213" s="18"/>
      <c r="H213" s="18"/>
      <c r="I213" s="18"/>
      <c r="J213" s="4"/>
      <c r="W213" s="4"/>
      <c r="X213" s="4"/>
      <c r="Y213" s="4"/>
      <c r="Z213" s="4"/>
      <c r="AA213" s="4"/>
      <c r="AB213" s="4"/>
    </row>
    <row r="214" spans="1:28" ht="12.75">
      <c r="A214" s="18"/>
      <c r="B214" s="18"/>
      <c r="C214" s="18"/>
      <c r="D214" s="4"/>
      <c r="E214" s="18"/>
      <c r="F214" s="18"/>
      <c r="G214" s="18"/>
      <c r="H214" s="18"/>
      <c r="I214" s="18"/>
      <c r="J214" s="4"/>
      <c r="W214" s="4"/>
      <c r="X214" s="4"/>
      <c r="Y214" s="4"/>
      <c r="Z214" s="4"/>
      <c r="AA214" s="4"/>
      <c r="AB214" s="4"/>
    </row>
    <row r="215" spans="1:28" ht="12.75">
      <c r="A215" s="18"/>
      <c r="B215" s="18"/>
      <c r="C215" s="18"/>
      <c r="D215" s="4"/>
      <c r="E215" s="18"/>
      <c r="F215" s="18"/>
      <c r="G215" s="18"/>
      <c r="H215" s="18"/>
      <c r="I215" s="18"/>
      <c r="J215" s="4"/>
      <c r="W215" s="4"/>
      <c r="X215" s="4"/>
      <c r="Y215" s="4"/>
      <c r="Z215" s="4"/>
      <c r="AA215" s="4"/>
      <c r="AB215" s="4"/>
    </row>
    <row r="216" spans="1:28" ht="12.75">
      <c r="A216" s="18"/>
      <c r="B216" s="18"/>
      <c r="C216" s="18"/>
      <c r="D216" s="4"/>
      <c r="E216" s="18"/>
      <c r="F216" s="18"/>
      <c r="G216" s="18"/>
      <c r="H216" s="18"/>
      <c r="I216" s="18"/>
      <c r="J216" s="4"/>
      <c r="W216" s="4"/>
      <c r="X216" s="4"/>
      <c r="Y216" s="4"/>
      <c r="Z216" s="4"/>
      <c r="AA216" s="4"/>
      <c r="AB216" s="4"/>
    </row>
    <row r="217" spans="1:28" ht="12.75">
      <c r="A217" s="18"/>
      <c r="B217" s="18"/>
      <c r="C217" s="18"/>
      <c r="D217" s="4"/>
      <c r="E217" s="18"/>
      <c r="F217" s="18"/>
      <c r="G217" s="18"/>
      <c r="H217" s="18"/>
      <c r="I217" s="18"/>
      <c r="J217" s="4"/>
      <c r="W217" s="4"/>
      <c r="X217" s="4"/>
      <c r="Y217" s="4"/>
      <c r="Z217" s="4"/>
      <c r="AA217" s="4"/>
      <c r="AB217" s="4"/>
    </row>
    <row r="218" spans="1:28" ht="12.75">
      <c r="A218" s="18"/>
      <c r="B218" s="18"/>
      <c r="C218" s="18"/>
      <c r="D218" s="4"/>
      <c r="E218" s="18"/>
      <c r="F218" s="18"/>
      <c r="G218" s="18"/>
      <c r="H218" s="18"/>
      <c r="I218" s="18"/>
      <c r="J218" s="4"/>
      <c r="W218" s="4"/>
      <c r="X218" s="4"/>
      <c r="Y218" s="4"/>
      <c r="Z218" s="4"/>
      <c r="AA218" s="4"/>
      <c r="AB218" s="4"/>
    </row>
    <row r="219" spans="1:28" ht="12.75">
      <c r="A219" s="18"/>
      <c r="B219" s="18"/>
      <c r="C219" s="18"/>
      <c r="D219" s="4"/>
      <c r="E219" s="18"/>
      <c r="F219" s="18"/>
      <c r="G219" s="18"/>
      <c r="H219" s="18"/>
      <c r="I219" s="18"/>
      <c r="J219" s="4"/>
      <c r="W219" s="4"/>
      <c r="X219" s="4"/>
      <c r="Y219" s="4"/>
      <c r="Z219" s="4"/>
      <c r="AA219" s="4"/>
      <c r="AB219" s="4"/>
    </row>
    <row r="220" spans="1:28" ht="12.75">
      <c r="A220" s="18"/>
      <c r="B220" s="18"/>
      <c r="C220" s="18"/>
      <c r="D220" s="4"/>
      <c r="E220" s="18"/>
      <c r="F220" s="18"/>
      <c r="G220" s="18"/>
      <c r="H220" s="18"/>
      <c r="I220" s="18"/>
      <c r="J220" s="4"/>
      <c r="W220" s="4"/>
      <c r="X220" s="4"/>
      <c r="Y220" s="4"/>
      <c r="Z220" s="4"/>
      <c r="AA220" s="4"/>
      <c r="AB220" s="4"/>
    </row>
    <row r="221" spans="1:28" ht="12.75">
      <c r="A221" s="18"/>
      <c r="B221" s="18"/>
      <c r="C221" s="18"/>
      <c r="D221" s="4"/>
      <c r="E221" s="18"/>
      <c r="F221" s="18"/>
      <c r="G221" s="18"/>
      <c r="H221" s="18"/>
      <c r="I221" s="18"/>
      <c r="J221" s="4"/>
      <c r="W221" s="4"/>
      <c r="X221" s="4"/>
      <c r="Y221" s="4"/>
      <c r="Z221" s="4"/>
      <c r="AA221" s="4"/>
      <c r="AB221" s="4"/>
    </row>
    <row r="222" spans="1:28" ht="12.75">
      <c r="A222" s="18"/>
      <c r="B222" s="18"/>
      <c r="C222" s="18"/>
      <c r="D222" s="4"/>
      <c r="E222" s="18"/>
      <c r="F222" s="18"/>
      <c r="G222" s="18"/>
      <c r="H222" s="18"/>
      <c r="I222" s="18"/>
      <c r="J222" s="4"/>
      <c r="W222" s="4"/>
      <c r="X222" s="4"/>
      <c r="Y222" s="4"/>
      <c r="Z222" s="4"/>
      <c r="AA222" s="4"/>
      <c r="AB222" s="4"/>
    </row>
    <row r="223" spans="1:28" ht="12.75">
      <c r="A223" s="18"/>
      <c r="B223" s="18"/>
      <c r="C223" s="18"/>
      <c r="D223" s="4"/>
      <c r="E223" s="18"/>
      <c r="F223" s="18"/>
      <c r="G223" s="18"/>
      <c r="H223" s="18"/>
      <c r="I223" s="18"/>
      <c r="J223" s="4"/>
      <c r="W223" s="4"/>
      <c r="X223" s="4"/>
      <c r="Y223" s="4"/>
      <c r="Z223" s="4"/>
      <c r="AA223" s="4"/>
      <c r="AB223" s="4"/>
    </row>
    <row r="224" spans="1:28" ht="12.75">
      <c r="A224" s="18"/>
      <c r="B224" s="18"/>
      <c r="C224" s="18"/>
      <c r="D224" s="4"/>
      <c r="E224" s="18"/>
      <c r="F224" s="18"/>
      <c r="G224" s="18"/>
      <c r="H224" s="18"/>
      <c r="I224" s="18"/>
      <c r="J224" s="4"/>
      <c r="W224" s="4"/>
      <c r="X224" s="4"/>
      <c r="Y224" s="4"/>
      <c r="Z224" s="4"/>
      <c r="AA224" s="4"/>
      <c r="AB224" s="4"/>
    </row>
    <row r="225" spans="1:28" ht="12.75">
      <c r="A225" s="18"/>
      <c r="B225" s="18"/>
      <c r="C225" s="18"/>
      <c r="D225" s="4"/>
      <c r="E225" s="18"/>
      <c r="F225" s="18"/>
      <c r="G225" s="18"/>
      <c r="H225" s="18"/>
      <c r="I225" s="18"/>
      <c r="J225" s="4"/>
      <c r="W225" s="4"/>
      <c r="X225" s="4"/>
      <c r="Y225" s="4"/>
      <c r="Z225" s="4"/>
      <c r="AA225" s="4"/>
      <c r="AB225" s="4"/>
    </row>
    <row r="226" spans="1:28" ht="12.75">
      <c r="A226" s="18"/>
      <c r="B226" s="18"/>
      <c r="C226" s="18"/>
      <c r="D226" s="4"/>
      <c r="E226" s="18"/>
      <c r="F226" s="18"/>
      <c r="G226" s="18"/>
      <c r="H226" s="18"/>
      <c r="I226" s="18"/>
      <c r="J226" s="4"/>
      <c r="W226" s="4"/>
      <c r="X226" s="4"/>
      <c r="Y226" s="4"/>
      <c r="Z226" s="4"/>
      <c r="AA226" s="4"/>
      <c r="AB226" s="4"/>
    </row>
    <row r="227" spans="1:28" ht="12.75">
      <c r="A227" s="18"/>
      <c r="B227" s="18"/>
      <c r="C227" s="18"/>
      <c r="D227" s="4"/>
      <c r="E227" s="18"/>
      <c r="F227" s="18"/>
      <c r="G227" s="18"/>
      <c r="H227" s="18"/>
      <c r="I227" s="18"/>
      <c r="J227" s="4"/>
      <c r="W227" s="4"/>
      <c r="X227" s="4"/>
      <c r="Y227" s="4"/>
      <c r="Z227" s="4"/>
      <c r="AA227" s="4"/>
      <c r="AB227" s="4"/>
    </row>
    <row r="228" spans="1:28" ht="12.75">
      <c r="A228" s="18"/>
      <c r="B228" s="18"/>
      <c r="C228" s="18"/>
      <c r="D228" s="4"/>
      <c r="E228" s="18"/>
      <c r="F228" s="18"/>
      <c r="G228" s="18"/>
      <c r="H228" s="18"/>
      <c r="I228" s="18"/>
      <c r="J228" s="4"/>
      <c r="W228" s="4"/>
      <c r="X228" s="4"/>
      <c r="Y228" s="4"/>
      <c r="Z228" s="4"/>
      <c r="AA228" s="4"/>
      <c r="AB228" s="4"/>
    </row>
    <row r="229" spans="1:28" ht="12.75">
      <c r="A229" s="18"/>
      <c r="B229" s="18"/>
      <c r="C229" s="18"/>
      <c r="D229" s="4"/>
      <c r="E229" s="18"/>
      <c r="F229" s="18"/>
      <c r="G229" s="18"/>
      <c r="H229" s="18"/>
      <c r="I229" s="18"/>
      <c r="J229" s="4"/>
      <c r="W229" s="4"/>
      <c r="X229" s="4"/>
      <c r="Y229" s="4"/>
      <c r="Z229" s="4"/>
      <c r="AA229" s="4"/>
      <c r="AB229" s="4"/>
    </row>
    <row r="230" spans="1:28" ht="12.75">
      <c r="A230" s="18"/>
      <c r="B230" s="18"/>
      <c r="C230" s="18"/>
      <c r="D230" s="4"/>
      <c r="E230" s="18"/>
      <c r="F230" s="18"/>
      <c r="G230" s="18"/>
      <c r="H230" s="18"/>
      <c r="I230" s="18"/>
      <c r="J230" s="4"/>
      <c r="W230" s="4"/>
      <c r="X230" s="4"/>
      <c r="Y230" s="4"/>
      <c r="Z230" s="4"/>
      <c r="AA230" s="4"/>
      <c r="AB230" s="4"/>
    </row>
    <row r="231" spans="1:28" ht="12.75">
      <c r="A231" s="18"/>
      <c r="B231" s="18"/>
      <c r="C231" s="18"/>
      <c r="D231" s="4"/>
      <c r="E231" s="18"/>
      <c r="F231" s="18"/>
      <c r="G231" s="18"/>
      <c r="H231" s="18"/>
      <c r="I231" s="18"/>
      <c r="J231" s="4"/>
      <c r="W231" s="4"/>
      <c r="X231" s="4"/>
      <c r="Y231" s="4"/>
      <c r="Z231" s="4"/>
      <c r="AA231" s="4"/>
      <c r="AB231" s="4"/>
    </row>
    <row r="232" spans="1:28" ht="12.75">
      <c r="A232" s="18"/>
      <c r="B232" s="18"/>
      <c r="C232" s="18"/>
      <c r="D232" s="4"/>
      <c r="E232" s="18"/>
      <c r="F232" s="18"/>
      <c r="G232" s="18"/>
      <c r="H232" s="18"/>
      <c r="I232" s="18"/>
      <c r="J232" s="4"/>
      <c r="W232" s="4"/>
      <c r="X232" s="4"/>
      <c r="Y232" s="4"/>
      <c r="Z232" s="4"/>
      <c r="AA232" s="4"/>
      <c r="AB232" s="4"/>
    </row>
    <row r="233" spans="1:28" ht="12.75">
      <c r="A233" s="18"/>
      <c r="B233" s="18"/>
      <c r="C233" s="18"/>
      <c r="D233" s="4"/>
      <c r="E233" s="18"/>
      <c r="F233" s="18"/>
      <c r="G233" s="18"/>
      <c r="H233" s="18"/>
      <c r="I233" s="18"/>
      <c r="J233" s="4"/>
      <c r="W233" s="4"/>
      <c r="X233" s="4"/>
      <c r="Y233" s="4"/>
      <c r="Z233" s="4"/>
      <c r="AA233" s="4"/>
      <c r="AB233" s="4"/>
    </row>
    <row r="234" spans="1:28" ht="12.75">
      <c r="A234" s="18"/>
      <c r="B234" s="18"/>
      <c r="C234" s="18"/>
      <c r="D234" s="4"/>
      <c r="E234" s="18"/>
      <c r="F234" s="18"/>
      <c r="G234" s="18"/>
      <c r="H234" s="18"/>
      <c r="I234" s="18"/>
      <c r="J234" s="4"/>
      <c r="W234" s="4"/>
      <c r="X234" s="4"/>
      <c r="Y234" s="4"/>
      <c r="Z234" s="4"/>
      <c r="AA234" s="4"/>
      <c r="AB234" s="4"/>
    </row>
    <row r="235" spans="1:28" ht="12.75">
      <c r="A235" s="18"/>
      <c r="B235" s="18"/>
      <c r="C235" s="18"/>
      <c r="D235" s="4"/>
      <c r="E235" s="18"/>
      <c r="F235" s="18"/>
      <c r="G235" s="18"/>
      <c r="H235" s="18"/>
      <c r="I235" s="18"/>
      <c r="J235" s="4"/>
      <c r="W235" s="4"/>
      <c r="X235" s="4"/>
      <c r="Y235" s="4"/>
      <c r="Z235" s="4"/>
      <c r="AA235" s="4"/>
      <c r="AB235" s="4"/>
    </row>
    <row r="236" spans="1:28" ht="12.75">
      <c r="A236" s="18"/>
      <c r="B236" s="18"/>
      <c r="C236" s="18"/>
      <c r="D236" s="4"/>
      <c r="E236" s="18"/>
      <c r="F236" s="18"/>
      <c r="G236" s="18"/>
      <c r="H236" s="18"/>
      <c r="I236" s="18"/>
      <c r="J236" s="4"/>
      <c r="W236" s="4"/>
      <c r="X236" s="4"/>
      <c r="Y236" s="4"/>
      <c r="Z236" s="4"/>
      <c r="AA236" s="4"/>
      <c r="AB236" s="4"/>
    </row>
    <row r="237" spans="1:28" ht="12.75">
      <c r="A237" s="18"/>
      <c r="B237" s="18"/>
      <c r="C237" s="18"/>
      <c r="D237" s="4"/>
      <c r="E237" s="18"/>
      <c r="F237" s="18"/>
      <c r="G237" s="18"/>
      <c r="H237" s="18"/>
      <c r="I237" s="18"/>
      <c r="J237" s="4"/>
      <c r="W237" s="4"/>
      <c r="X237" s="4"/>
      <c r="Y237" s="4"/>
      <c r="Z237" s="4"/>
      <c r="AA237" s="4"/>
      <c r="AB237" s="4"/>
    </row>
    <row r="238" spans="1:28" ht="12.75">
      <c r="A238" s="18"/>
      <c r="B238" s="18"/>
      <c r="C238" s="18"/>
      <c r="D238" s="4"/>
      <c r="E238" s="18"/>
      <c r="F238" s="18"/>
      <c r="G238" s="18"/>
      <c r="H238" s="18"/>
      <c r="I238" s="18"/>
      <c r="J238" s="4"/>
      <c r="W238" s="4"/>
      <c r="X238" s="4"/>
      <c r="Y238" s="4"/>
      <c r="Z238" s="4"/>
      <c r="AA238" s="4"/>
      <c r="AB238" s="4"/>
    </row>
    <row r="239" spans="1:28" ht="12.75">
      <c r="A239" s="18"/>
      <c r="B239" s="18"/>
      <c r="C239" s="18"/>
      <c r="D239" s="4"/>
      <c r="E239" s="18"/>
      <c r="F239" s="18"/>
      <c r="G239" s="18"/>
      <c r="H239" s="18"/>
      <c r="I239" s="18"/>
      <c r="J239" s="4"/>
      <c r="W239" s="4"/>
      <c r="X239" s="4"/>
      <c r="Y239" s="4"/>
      <c r="Z239" s="4"/>
      <c r="AA239" s="4"/>
      <c r="AB239" s="4"/>
    </row>
    <row r="240" spans="1:28" ht="12.75">
      <c r="A240" s="18"/>
      <c r="B240" s="18"/>
      <c r="C240" s="18"/>
      <c r="D240" s="4"/>
      <c r="E240" s="18"/>
      <c r="F240" s="18"/>
      <c r="G240" s="18"/>
      <c r="H240" s="18"/>
      <c r="I240" s="18"/>
      <c r="J240" s="4"/>
      <c r="W240" s="4"/>
      <c r="X240" s="4"/>
      <c r="Y240" s="4"/>
      <c r="Z240" s="4"/>
      <c r="AA240" s="4"/>
      <c r="AB240" s="4"/>
    </row>
    <row r="241" spans="1:28" ht="12.75">
      <c r="A241" s="18"/>
      <c r="B241" s="18"/>
      <c r="C241" s="18"/>
      <c r="D241" s="4"/>
      <c r="E241" s="18"/>
      <c r="F241" s="18"/>
      <c r="G241" s="18"/>
      <c r="H241" s="18"/>
      <c r="I241" s="18"/>
      <c r="J241" s="4"/>
      <c r="W241" s="4"/>
      <c r="X241" s="4"/>
      <c r="Y241" s="4"/>
      <c r="Z241" s="4"/>
      <c r="AA241" s="4"/>
      <c r="AB241" s="4"/>
    </row>
    <row r="242" spans="1:28" ht="12.75">
      <c r="A242" s="18"/>
      <c r="B242" s="18"/>
      <c r="C242" s="18"/>
      <c r="D242" s="4"/>
      <c r="E242" s="18"/>
      <c r="F242" s="18"/>
      <c r="G242" s="18"/>
      <c r="H242" s="18"/>
      <c r="I242" s="18"/>
      <c r="J242" s="4"/>
      <c r="W242" s="4"/>
      <c r="X242" s="4"/>
      <c r="Y242" s="4"/>
      <c r="Z242" s="4"/>
      <c r="AA242" s="4"/>
      <c r="AB242" s="4"/>
    </row>
    <row r="243" spans="1:28" ht="12.75">
      <c r="A243" s="18"/>
      <c r="B243" s="18"/>
      <c r="C243" s="18"/>
      <c r="D243" s="4"/>
      <c r="E243" s="18"/>
      <c r="F243" s="18"/>
      <c r="G243" s="18"/>
      <c r="H243" s="18"/>
      <c r="I243" s="18"/>
      <c r="J243" s="4"/>
      <c r="W243" s="4"/>
      <c r="X243" s="4"/>
      <c r="Y243" s="4"/>
      <c r="Z243" s="4"/>
      <c r="AA243" s="4"/>
      <c r="AB243" s="4"/>
    </row>
    <row r="244" spans="1:28" ht="12.75">
      <c r="A244" s="18"/>
      <c r="B244" s="18"/>
      <c r="C244" s="18"/>
      <c r="D244" s="4"/>
      <c r="E244" s="18"/>
      <c r="F244" s="18"/>
      <c r="G244" s="18"/>
      <c r="H244" s="18"/>
      <c r="I244" s="18"/>
      <c r="J244" s="4"/>
      <c r="W244" s="4"/>
      <c r="X244" s="4"/>
      <c r="Y244" s="4"/>
      <c r="Z244" s="4"/>
      <c r="AA244" s="4"/>
      <c r="AB244" s="4"/>
    </row>
    <row r="245" spans="1:28" ht="12.75">
      <c r="A245" s="18"/>
      <c r="B245" s="18"/>
      <c r="C245" s="18"/>
      <c r="D245" s="4"/>
      <c r="E245" s="18"/>
      <c r="F245" s="18"/>
      <c r="G245" s="18"/>
      <c r="H245" s="18"/>
      <c r="I245" s="18"/>
      <c r="J245" s="4"/>
      <c r="W245" s="4"/>
      <c r="X245" s="4"/>
      <c r="Y245" s="4"/>
      <c r="Z245" s="4"/>
      <c r="AA245" s="4"/>
      <c r="AB245" s="4"/>
    </row>
    <row r="246" spans="1:28" ht="12.75">
      <c r="A246" s="18"/>
      <c r="B246" s="18"/>
      <c r="C246" s="18"/>
      <c r="D246" s="4"/>
      <c r="E246" s="18"/>
      <c r="F246" s="18"/>
      <c r="G246" s="18"/>
      <c r="H246" s="18"/>
      <c r="I246" s="18"/>
      <c r="J246" s="4"/>
      <c r="W246" s="4"/>
      <c r="X246" s="4"/>
      <c r="Y246" s="4"/>
      <c r="Z246" s="4"/>
      <c r="AA246" s="4"/>
      <c r="AB246" s="4"/>
    </row>
    <row r="247" spans="1:28" ht="12.75">
      <c r="A247" s="18"/>
      <c r="B247" s="18"/>
      <c r="C247" s="18"/>
      <c r="D247" s="4"/>
      <c r="E247" s="18"/>
      <c r="F247" s="18"/>
      <c r="G247" s="18"/>
      <c r="H247" s="18"/>
      <c r="I247" s="18"/>
      <c r="J247" s="4"/>
      <c r="W247" s="4"/>
      <c r="X247" s="4"/>
      <c r="Y247" s="4"/>
      <c r="Z247" s="4"/>
      <c r="AA247" s="4"/>
      <c r="AB247" s="4"/>
    </row>
    <row r="248" spans="1:28" ht="12.75">
      <c r="A248" s="18"/>
      <c r="B248" s="18"/>
      <c r="C248" s="18"/>
      <c r="D248" s="4"/>
      <c r="E248" s="18"/>
      <c r="F248" s="18"/>
      <c r="G248" s="18"/>
      <c r="H248" s="18"/>
      <c r="I248" s="18"/>
      <c r="J248" s="4"/>
      <c r="W248" s="4"/>
      <c r="X248" s="4"/>
      <c r="Y248" s="4"/>
      <c r="Z248" s="4"/>
      <c r="AA248" s="4"/>
      <c r="AB248" s="4"/>
    </row>
    <row r="249" spans="1:28" ht="12.75">
      <c r="A249" s="18"/>
      <c r="B249" s="18"/>
      <c r="C249" s="18"/>
      <c r="D249" s="4"/>
      <c r="E249" s="18"/>
      <c r="F249" s="18"/>
      <c r="G249" s="18"/>
      <c r="H249" s="18"/>
      <c r="I249" s="18"/>
      <c r="J249" s="4"/>
      <c r="W249" s="4"/>
      <c r="X249" s="4"/>
      <c r="Y249" s="4"/>
      <c r="Z249" s="4"/>
      <c r="AA249" s="4"/>
      <c r="AB249" s="4"/>
    </row>
    <row r="250" spans="1:28" ht="12.75">
      <c r="A250" s="18"/>
      <c r="B250" s="18"/>
      <c r="C250" s="18"/>
      <c r="D250" s="4"/>
      <c r="E250" s="18"/>
      <c r="F250" s="18"/>
      <c r="G250" s="18"/>
      <c r="H250" s="18"/>
      <c r="I250" s="18"/>
      <c r="J250" s="4"/>
      <c r="W250" s="4"/>
      <c r="X250" s="4"/>
      <c r="Y250" s="4"/>
      <c r="Z250" s="4"/>
      <c r="AA250" s="4"/>
      <c r="AB250" s="4"/>
    </row>
    <row r="251" spans="1:28" ht="12.75">
      <c r="A251" s="18"/>
      <c r="B251" s="18"/>
      <c r="C251" s="18"/>
      <c r="D251" s="4"/>
      <c r="E251" s="18"/>
      <c r="F251" s="18"/>
      <c r="G251" s="18"/>
      <c r="H251" s="18"/>
      <c r="I251" s="18"/>
      <c r="J251" s="4"/>
      <c r="W251" s="4"/>
      <c r="X251" s="4"/>
      <c r="Y251" s="4"/>
      <c r="Z251" s="4"/>
      <c r="AA251" s="4"/>
      <c r="AB251" s="4"/>
    </row>
    <row r="252" spans="1:28" ht="12.75">
      <c r="A252" s="18"/>
      <c r="B252" s="18"/>
      <c r="C252" s="18"/>
      <c r="D252" s="4"/>
      <c r="E252" s="18"/>
      <c r="F252" s="18"/>
      <c r="G252" s="18"/>
      <c r="H252" s="18"/>
      <c r="I252" s="18"/>
      <c r="J252" s="4"/>
      <c r="W252" s="4"/>
      <c r="X252" s="4"/>
      <c r="Y252" s="4"/>
      <c r="Z252" s="4"/>
      <c r="AA252" s="4"/>
      <c r="AB252" s="4"/>
    </row>
    <row r="253" spans="1:28" ht="12.75">
      <c r="A253" s="18"/>
      <c r="B253" s="18"/>
      <c r="C253" s="18"/>
      <c r="D253" s="4"/>
      <c r="E253" s="18"/>
      <c r="F253" s="18"/>
      <c r="G253" s="18"/>
      <c r="H253" s="18"/>
      <c r="I253" s="18"/>
      <c r="J253" s="4"/>
      <c r="W253" s="4"/>
      <c r="X253" s="4"/>
      <c r="Y253" s="4"/>
      <c r="Z253" s="4"/>
      <c r="AA253" s="4"/>
      <c r="AB253" s="4"/>
    </row>
    <row r="254" spans="1:28" ht="12.75">
      <c r="A254" s="18"/>
      <c r="B254" s="18"/>
      <c r="C254" s="18"/>
      <c r="D254" s="4"/>
      <c r="E254" s="18"/>
      <c r="F254" s="18"/>
      <c r="G254" s="18"/>
      <c r="H254" s="18"/>
      <c r="I254" s="18"/>
      <c r="J254" s="4"/>
      <c r="W254" s="4"/>
      <c r="X254" s="4"/>
      <c r="Y254" s="4"/>
      <c r="Z254" s="4"/>
      <c r="AA254" s="4"/>
      <c r="AB254" s="4"/>
    </row>
    <row r="255" spans="1:28" ht="12.75">
      <c r="A255" s="18"/>
      <c r="B255" s="18"/>
      <c r="C255" s="18"/>
      <c r="D255" s="4"/>
      <c r="E255" s="18"/>
      <c r="F255" s="18"/>
      <c r="G255" s="18"/>
      <c r="H255" s="18"/>
      <c r="I255" s="18"/>
      <c r="J255" s="4"/>
      <c r="W255" s="4"/>
      <c r="X255" s="4"/>
      <c r="Y255" s="4"/>
      <c r="Z255" s="4"/>
      <c r="AA255" s="4"/>
      <c r="AB255" s="4"/>
    </row>
    <row r="256" spans="1:28" ht="12.75">
      <c r="A256" s="18"/>
      <c r="B256" s="18"/>
      <c r="C256" s="18"/>
      <c r="D256" s="4"/>
      <c r="E256" s="18"/>
      <c r="F256" s="18"/>
      <c r="G256" s="18"/>
      <c r="H256" s="18"/>
      <c r="I256" s="18"/>
      <c r="J256" s="4"/>
      <c r="W256" s="4"/>
      <c r="X256" s="4"/>
      <c r="Y256" s="4"/>
      <c r="Z256" s="4"/>
      <c r="AA256" s="4"/>
      <c r="AB256" s="4"/>
    </row>
    <row r="257" spans="1:28" ht="12.75">
      <c r="A257" s="18"/>
      <c r="B257" s="18"/>
      <c r="C257" s="18"/>
      <c r="D257" s="4"/>
      <c r="E257" s="18"/>
      <c r="F257" s="18"/>
      <c r="G257" s="18"/>
      <c r="H257" s="18"/>
      <c r="I257" s="18"/>
      <c r="J257" s="4"/>
      <c r="W257" s="4"/>
      <c r="X257" s="4"/>
      <c r="Y257" s="4"/>
      <c r="Z257" s="4"/>
      <c r="AA257" s="4"/>
      <c r="AB257" s="4"/>
    </row>
    <row r="258" spans="1:28" ht="12.75">
      <c r="A258" s="18"/>
      <c r="B258" s="18"/>
      <c r="C258" s="18"/>
      <c r="D258" s="4"/>
      <c r="E258" s="18"/>
      <c r="F258" s="18"/>
      <c r="G258" s="18"/>
      <c r="H258" s="18"/>
      <c r="I258" s="18"/>
      <c r="J258" s="4"/>
      <c r="W258" s="4"/>
      <c r="X258" s="4"/>
      <c r="Y258" s="4"/>
      <c r="Z258" s="4"/>
      <c r="AA258" s="4"/>
      <c r="AB258" s="4"/>
    </row>
    <row r="259" spans="1:2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W259" s="4"/>
      <c r="X259" s="4"/>
      <c r="Y259" s="4"/>
      <c r="Z259" s="4"/>
      <c r="AA259" s="4"/>
      <c r="AB259" s="4"/>
    </row>
    <row r="260" spans="1:2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W260" s="4"/>
      <c r="X260" s="4"/>
      <c r="Y260" s="4"/>
      <c r="Z260" s="4"/>
      <c r="AA260" s="4"/>
      <c r="AB260" s="4"/>
    </row>
    <row r="261" spans="1:2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W261" s="4"/>
      <c r="X261" s="4"/>
      <c r="Y261" s="4"/>
      <c r="Z261" s="4"/>
      <c r="AA261" s="4"/>
      <c r="AB261" s="4"/>
    </row>
    <row r="262" spans="1:2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W262" s="4"/>
      <c r="X262" s="4"/>
      <c r="Y262" s="4"/>
      <c r="Z262" s="4"/>
      <c r="AA262" s="4"/>
      <c r="AB262" s="4"/>
    </row>
    <row r="263" spans="1:2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W263" s="4"/>
      <c r="X263" s="4"/>
      <c r="Y263" s="4"/>
      <c r="Z263" s="4"/>
      <c r="AA263" s="4"/>
      <c r="AB263" s="4"/>
    </row>
    <row r="264" spans="1:2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W264" s="4"/>
      <c r="X264" s="4"/>
      <c r="Y264" s="4"/>
      <c r="Z264" s="4"/>
      <c r="AA264" s="4"/>
      <c r="AB264" s="4"/>
    </row>
    <row r="265" spans="1:2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W265" s="4"/>
      <c r="X265" s="4"/>
      <c r="Y265" s="4"/>
      <c r="Z265" s="4"/>
      <c r="AA265" s="4"/>
      <c r="AB265" s="4"/>
    </row>
    <row r="266" spans="1:2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W266" s="4"/>
      <c r="X266" s="4"/>
      <c r="Y266" s="4"/>
      <c r="Z266" s="4"/>
      <c r="AA266" s="4"/>
      <c r="AB266" s="4"/>
    </row>
    <row r="267" spans="1:2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W267" s="4"/>
      <c r="X267" s="4"/>
      <c r="Y267" s="4"/>
      <c r="Z267" s="4"/>
      <c r="AA267" s="4"/>
      <c r="AB267" s="4"/>
    </row>
    <row r="268" spans="1:2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W268" s="4"/>
      <c r="X268" s="4"/>
      <c r="Y268" s="4"/>
      <c r="Z268" s="4"/>
      <c r="AA268" s="4"/>
      <c r="AB268" s="4"/>
    </row>
    <row r="269" spans="1:2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W269" s="4"/>
      <c r="X269" s="4"/>
      <c r="Y269" s="4"/>
      <c r="Z269" s="4"/>
      <c r="AA269" s="4"/>
      <c r="AB269" s="4"/>
    </row>
    <row r="270" spans="1:2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W270" s="4"/>
      <c r="X270" s="4"/>
      <c r="Y270" s="4"/>
      <c r="Z270" s="4"/>
      <c r="AA270" s="4"/>
      <c r="AB270" s="4"/>
    </row>
    <row r="271" spans="1:2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W271" s="4"/>
      <c r="X271" s="4"/>
      <c r="Y271" s="4"/>
      <c r="Z271" s="4"/>
      <c r="AA271" s="4"/>
      <c r="AB271" s="4"/>
    </row>
    <row r="272" spans="1:2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W272" s="4"/>
      <c r="X272" s="4"/>
      <c r="Y272" s="4"/>
      <c r="Z272" s="4"/>
      <c r="AA272" s="4"/>
      <c r="AB272" s="4"/>
    </row>
    <row r="273" spans="1:2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W273" s="4"/>
      <c r="X273" s="4"/>
      <c r="Y273" s="4"/>
      <c r="Z273" s="4"/>
      <c r="AA273" s="4"/>
      <c r="AB273" s="4"/>
    </row>
    <row r="274" spans="1:2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W274" s="4"/>
      <c r="X274" s="4"/>
      <c r="Y274" s="4"/>
      <c r="Z274" s="4"/>
      <c r="AA274" s="4"/>
      <c r="AB274" s="4"/>
    </row>
    <row r="275" spans="1:2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W275" s="4"/>
      <c r="X275" s="4"/>
      <c r="Y275" s="4"/>
      <c r="Z275" s="4"/>
      <c r="AA275" s="4"/>
      <c r="AB275" s="4"/>
    </row>
    <row r="276" spans="1:2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W276" s="4"/>
      <c r="X276" s="4"/>
      <c r="Y276" s="4"/>
      <c r="Z276" s="4"/>
      <c r="AA276" s="4"/>
      <c r="AB276" s="4"/>
    </row>
    <row r="277" spans="1:2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W277" s="4"/>
      <c r="X277" s="4"/>
      <c r="Y277" s="4"/>
      <c r="Z277" s="4"/>
      <c r="AA277" s="4"/>
      <c r="AB277" s="4"/>
    </row>
    <row r="278" spans="1:2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W278" s="4"/>
      <c r="X278" s="4"/>
      <c r="Y278" s="4"/>
      <c r="Z278" s="4"/>
      <c r="AA278" s="4"/>
      <c r="AB278" s="4"/>
    </row>
    <row r="279" spans="1:2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W279" s="4"/>
      <c r="X279" s="4"/>
      <c r="Y279" s="4"/>
      <c r="Z279" s="4"/>
      <c r="AA279" s="4"/>
      <c r="AB279" s="4"/>
    </row>
    <row r="280" spans="1:2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W280" s="4"/>
      <c r="X280" s="4"/>
      <c r="Y280" s="4"/>
      <c r="Z280" s="4"/>
      <c r="AA280" s="4"/>
      <c r="AB280" s="4"/>
    </row>
    <row r="281" spans="1:2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W281" s="4"/>
      <c r="X281" s="4"/>
      <c r="Y281" s="4"/>
      <c r="Z281" s="4"/>
      <c r="AA281" s="4"/>
      <c r="AB281" s="4"/>
    </row>
    <row r="282" spans="1:2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W282" s="4"/>
      <c r="X282" s="4"/>
      <c r="Y282" s="4"/>
      <c r="Z282" s="4"/>
      <c r="AA282" s="4"/>
      <c r="AB282" s="4"/>
    </row>
    <row r="283" spans="1:2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W283" s="4"/>
      <c r="X283" s="4"/>
      <c r="Y283" s="4"/>
      <c r="Z283" s="4"/>
      <c r="AA283" s="4"/>
      <c r="AB283" s="4"/>
    </row>
    <row r="284" spans="1:2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W284" s="4"/>
      <c r="X284" s="4"/>
      <c r="Y284" s="4"/>
      <c r="Z284" s="4"/>
      <c r="AA284" s="4"/>
      <c r="AB284" s="4"/>
    </row>
    <row r="285" spans="1:2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W285" s="4"/>
      <c r="X285" s="4"/>
      <c r="Y285" s="4"/>
      <c r="Z285" s="4"/>
      <c r="AA285" s="4"/>
      <c r="AB285" s="4"/>
    </row>
    <row r="286" spans="1:2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W286" s="4"/>
      <c r="X286" s="4"/>
      <c r="Y286" s="4"/>
      <c r="Z286" s="4"/>
      <c r="AA286" s="4"/>
      <c r="AB286" s="4"/>
    </row>
    <row r="287" spans="1:2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W287" s="4"/>
      <c r="X287" s="4"/>
      <c r="Y287" s="4"/>
      <c r="Z287" s="4"/>
      <c r="AA287" s="4"/>
      <c r="AB287" s="4"/>
    </row>
    <row r="288" spans="1:2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W288" s="4"/>
      <c r="X288" s="4"/>
      <c r="Y288" s="4"/>
      <c r="Z288" s="4"/>
      <c r="AA288" s="4"/>
      <c r="AB288" s="4"/>
    </row>
    <row r="289" spans="1:2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W289" s="4"/>
      <c r="X289" s="4"/>
      <c r="Y289" s="4"/>
      <c r="Z289" s="4"/>
      <c r="AA289" s="4"/>
      <c r="AB289" s="4"/>
    </row>
    <row r="290" spans="1:2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W290" s="4"/>
      <c r="X290" s="4"/>
      <c r="Y290" s="4"/>
      <c r="Z290" s="4"/>
      <c r="AA290" s="4"/>
      <c r="AB290" s="4"/>
    </row>
    <row r="291" spans="1:2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W291" s="4"/>
      <c r="X291" s="4"/>
      <c r="Y291" s="4"/>
      <c r="Z291" s="4"/>
      <c r="AA291" s="4"/>
      <c r="AB291" s="4"/>
    </row>
    <row r="292" spans="1:2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W292" s="4"/>
      <c r="X292" s="4"/>
      <c r="Y292" s="4"/>
      <c r="Z292" s="4"/>
      <c r="AA292" s="4"/>
      <c r="AB292" s="4"/>
    </row>
    <row r="293" spans="1:2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W293" s="4"/>
      <c r="X293" s="4"/>
      <c r="Y293" s="4"/>
      <c r="Z293" s="4"/>
      <c r="AA293" s="4"/>
      <c r="AB293" s="4"/>
    </row>
    <row r="294" spans="1:2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W294" s="4"/>
      <c r="X294" s="4"/>
      <c r="Y294" s="4"/>
      <c r="Z294" s="4"/>
      <c r="AA294" s="4"/>
      <c r="AB294" s="4"/>
    </row>
    <row r="295" spans="1:10" ht="12.7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2.7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2.7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2.7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2.7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2.7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2.7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2.7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2.7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2.7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2.7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2.7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2.7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2.7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2.7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2.7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2.7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2.7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2.7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2.7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2.7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4"/>
      <c r="B677" s="4"/>
      <c r="C677" s="4"/>
      <c r="D677" s="4"/>
      <c r="E677" s="4"/>
      <c r="F677" s="4"/>
      <c r="G677" s="4"/>
      <c r="H677" s="4"/>
      <c r="I677" s="4"/>
      <c r="J677" s="4"/>
    </row>
  </sheetData>
  <sheetProtection password="C580" sheet="1" objects="1" scenarios="1"/>
  <protectedRanges>
    <protectedRange sqref="A62:B62" name="Plage3"/>
    <protectedRange sqref="E38:E43 D52:D53" name="Plage1"/>
    <protectedRange sqref="A60:B60 E60:I60" name="Plage2"/>
  </protectedRanges>
  <mergeCells count="8">
    <mergeCell ref="E60:I60"/>
    <mergeCell ref="A62:B62"/>
    <mergeCell ref="A60:B60"/>
    <mergeCell ref="D2:E2"/>
    <mergeCell ref="F2:G2"/>
    <mergeCell ref="H2:I2"/>
    <mergeCell ref="D49:F49"/>
    <mergeCell ref="D48:F48"/>
  </mergeCells>
  <conditionalFormatting sqref="E56">
    <cfRule type="cellIs" priority="1" dxfId="0" operator="equal" stopIfTrue="1">
      <formula>0</formula>
    </cfRule>
  </conditionalFormatting>
  <printOptions/>
  <pageMargins left="0.5511811023622047" right="0.31496062992125984" top="0.2362204724409449" bottom="0.2755905511811024" header="0.2362204724409449" footer="0.2755905511811024"/>
  <pageSetup horizontalDpi="600" verticalDpi="600" orientation="portrait" paperSize="9" r:id="rId4"/>
  <headerFooter alignWithMargins="0">
    <oddFooter>&amp;RPage 6</oddFooter>
  </headerFooter>
  <rowBreaks count="1" manualBreakCount="1">
    <brk id="111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BVE</dc:creator>
  <cp:keywords/>
  <dc:description/>
  <cp:lastModifiedBy>Dorthe Jonathan</cp:lastModifiedBy>
  <cp:lastPrinted>2009-06-18T06:38:17Z</cp:lastPrinted>
  <dcterms:created xsi:type="dcterms:W3CDTF">2002-01-31T12:52:35Z</dcterms:created>
  <dcterms:modified xsi:type="dcterms:W3CDTF">2023-06-12T09:04:56Z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-940983446</vt:i4>
  </property>
  <property fmtid="{D5CDD505-2E9C-101B-9397-08002B2CF9AE}" pid="3" name="_EmailSubject">
    <vt:lpwstr>Programme des volumes 3.10</vt:lpwstr>
  </property>
  <property fmtid="{D5CDD505-2E9C-101B-9397-08002B2CF9AE}" pid="4" name="_AuthorEmail">
    <vt:lpwstr>GirardinE@fr.ch</vt:lpwstr>
  </property>
  <property fmtid="{D5CDD505-2E9C-101B-9397-08002B2CF9AE}" pid="5" name="_AuthorEmailDisplayName">
    <vt:lpwstr>Girardin Eric</vt:lpwstr>
  </property>
  <property fmtid="{D5CDD505-2E9C-101B-9397-08002B2CF9AE}" pid="6" name="_PreviousAdHocReviewCycleID">
    <vt:i4>237198943</vt:i4>
  </property>
  <property fmtid="{D5CDD505-2E9C-101B-9397-08002B2CF9AE}" pid="7" name="_ReviewingToolsShownOnce">
    <vt:lpwstr/>
  </property>
</Properties>
</file>